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Z:\Shared\HQ Fileserver\Finance\Kvartalspresentasjoner\Key figures\"/>
    </mc:Choice>
  </mc:AlternateContent>
  <xr:revisionPtr revIDLastSave="0" documentId="13_ncr:1_{8C8D53D6-C722-45B8-9715-34B93FA2C358}" xr6:coauthVersionLast="47" xr6:coauthVersionMax="47" xr10:uidLastSave="{00000000-0000-0000-0000-000000000000}"/>
  <bookViews>
    <workbookView xWindow="-38510" yWindow="-110" windowWidth="38620" windowHeight="21220" tabRatio="799" firstSheet="2" activeTab="11" xr2:uid="{00000000-000D-0000-FFFF-FFFF00000000}"/>
  </bookViews>
  <sheets>
    <sheet name="NumberChecks" sheetId="15" state="hidden" r:id="rId1"/>
    <sheet name="Sheet4" sheetId="18" state="hidden" r:id="rId2"/>
    <sheet name="Tolling" sheetId="1" r:id="rId3"/>
    <sheet name="Traffic Management" sheetId="24" r:id="rId4"/>
    <sheet name="Assets held for sale" sheetId="25" r:id="rId5"/>
    <sheet name="Sheet5" sheetId="19" state="hidden" r:id="rId6"/>
    <sheet name="Global Functions" sheetId="26" r:id="rId7"/>
    <sheet name="P &amp; L" sheetId="7" r:id="rId8"/>
    <sheet name="Balance Sheet" sheetId="21" r:id="rId9"/>
    <sheet name="CashFlow" sheetId="22" r:id="rId10"/>
    <sheet name="Financial items" sheetId="13" r:id="rId11"/>
    <sheet name="Depreciation &amp; amortisation" sheetId="23" r:id="rId12"/>
  </sheets>
  <definedNames>
    <definedName name="_xlnm.Print_Area" localSheetId="4">'Assets held for sale'!$B$2:$R$34</definedName>
    <definedName name="_xlnm.Print_Area" localSheetId="8">'Balance Sheet'!$B$2:$S$54</definedName>
    <definedName name="_xlnm.Print_Area" localSheetId="9">CashFlow!$B$2:$S$40</definedName>
    <definedName name="_xlnm.Print_Area" localSheetId="11">'Depreciation &amp; amortisation'!$B$2:$S$16</definedName>
    <definedName name="_xlnm.Print_Area" localSheetId="10">'Financial items'!$B$2:$S$14</definedName>
    <definedName name="_xlnm.Print_Area" localSheetId="6">'Global Functions'!$B$2:$S$23</definedName>
    <definedName name="_xlnm.Print_Area" localSheetId="0">NumberChecks!$B$2:$AQ$27</definedName>
    <definedName name="_xlnm.Print_Area" localSheetId="7">'P &amp; L'!$B$2:$S$44</definedName>
    <definedName name="_xlnm.Print_Area" localSheetId="2">Tolling!$B$2:$R$34</definedName>
    <definedName name="_xlnm.Print_Area" localSheetId="3">'Traffic Management'!$B$2:$R$34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4" i="24" l="1"/>
  <c r="R30" i="24"/>
  <c r="R32" i="22" l="1"/>
  <c r="R20" i="22" l="1"/>
  <c r="R22" i="7" l="1"/>
  <c r="R11" i="7"/>
  <c r="Q9" i="23" l="1"/>
  <c r="Q32" i="22" l="1"/>
  <c r="R33" i="7"/>
  <c r="Q22" i="7"/>
  <c r="Q11" i="7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D10" i="26"/>
  <c r="E10" i="26"/>
  <c r="F10" i="26"/>
  <c r="C10" i="26"/>
  <c r="P21" i="25"/>
  <c r="Q21" i="25"/>
  <c r="R21" i="25"/>
  <c r="O21" i="25"/>
  <c r="P15" i="25"/>
  <c r="Q15" i="25"/>
  <c r="R15" i="25"/>
  <c r="O15" i="25"/>
  <c r="R10" i="25"/>
  <c r="P10" i="25"/>
  <c r="Q10" i="25"/>
  <c r="O10" i="25"/>
  <c r="Q9" i="1"/>
  <c r="P32" i="22" l="1"/>
  <c r="P11" i="7"/>
  <c r="P22" i="7"/>
  <c r="P34" i="24"/>
  <c r="O34" i="24"/>
  <c r="P30" i="24"/>
  <c r="O30" i="24"/>
  <c r="P30" i="1"/>
  <c r="R30" i="1"/>
  <c r="P34" i="1"/>
  <c r="R34" i="1"/>
  <c r="O34" i="1"/>
  <c r="O30" i="1"/>
  <c r="O10" i="13" l="1"/>
  <c r="O7" i="13"/>
  <c r="O6" i="13"/>
  <c r="O11" i="13" s="1"/>
  <c r="O36" i="22"/>
  <c r="O32" i="22"/>
  <c r="R13" i="23"/>
  <c r="Q13" i="23"/>
  <c r="P13" i="23"/>
  <c r="O13" i="23"/>
  <c r="R11" i="13"/>
  <c r="Q11" i="13"/>
  <c r="P11" i="13"/>
  <c r="R25" i="22"/>
  <c r="Q25" i="22"/>
  <c r="P25" i="22"/>
  <c r="P36" i="22" s="1"/>
  <c r="O25" i="22"/>
  <c r="Q20" i="22"/>
  <c r="Q36" i="22" s="1"/>
  <c r="P20" i="22"/>
  <c r="O20" i="22"/>
  <c r="R52" i="21"/>
  <c r="Q52" i="21"/>
  <c r="P52" i="21"/>
  <c r="O52" i="21"/>
  <c r="R45" i="21"/>
  <c r="Q45" i="21"/>
  <c r="P45" i="21"/>
  <c r="O45" i="21"/>
  <c r="R35" i="21"/>
  <c r="Q35" i="21"/>
  <c r="P35" i="21"/>
  <c r="O35" i="21"/>
  <c r="R28" i="21"/>
  <c r="Q28" i="21"/>
  <c r="P28" i="21"/>
  <c r="O28" i="21"/>
  <c r="R19" i="21"/>
  <c r="Q19" i="21"/>
  <c r="P19" i="21"/>
  <c r="O19" i="21"/>
  <c r="O51" i="21" s="1"/>
  <c r="R11" i="21"/>
  <c r="Q11" i="21"/>
  <c r="P11" i="21"/>
  <c r="O11" i="21"/>
  <c r="O28" i="7"/>
  <c r="O11" i="7"/>
  <c r="O13" i="7" s="1"/>
  <c r="O18" i="7" s="1"/>
  <c r="O22" i="7"/>
  <c r="O33" i="7"/>
  <c r="P33" i="7"/>
  <c r="Q33" i="7"/>
  <c r="O30" i="7"/>
  <c r="P13" i="7"/>
  <c r="P18" i="7" s="1"/>
  <c r="P24" i="7" s="1"/>
  <c r="P28" i="7" s="1"/>
  <c r="P30" i="7" s="1"/>
  <c r="Q13" i="7"/>
  <c r="Q18" i="7" s="1"/>
  <c r="R13" i="7"/>
  <c r="R34" i="7" s="1"/>
  <c r="R9" i="25"/>
  <c r="R14" i="25" s="1"/>
  <c r="Q9" i="25"/>
  <c r="P9" i="25"/>
  <c r="O9" i="25"/>
  <c r="O14" i="25" s="1"/>
  <c r="R9" i="26"/>
  <c r="Q9" i="26"/>
  <c r="P9" i="26"/>
  <c r="O9" i="26"/>
  <c r="R9" i="24"/>
  <c r="Q9" i="24"/>
  <c r="Q14" i="24" s="1"/>
  <c r="P9" i="24"/>
  <c r="P14" i="24" s="1"/>
  <c r="O9" i="24"/>
  <c r="O10" i="24" s="1"/>
  <c r="R36" i="22" l="1"/>
  <c r="R47" i="21"/>
  <c r="R49" i="21" s="1"/>
  <c r="R18" i="7"/>
  <c r="R14" i="24"/>
  <c r="R15" i="24" s="1"/>
  <c r="R10" i="24"/>
  <c r="Q34" i="7"/>
  <c r="Q24" i="7"/>
  <c r="Q28" i="7" s="1"/>
  <c r="Q30" i="7" s="1"/>
  <c r="Q35" i="7"/>
  <c r="P34" i="7"/>
  <c r="P35" i="7"/>
  <c r="P10" i="24"/>
  <c r="Q10" i="24"/>
  <c r="P51" i="21"/>
  <c r="R51" i="21"/>
  <c r="Q51" i="21"/>
  <c r="Q47" i="21"/>
  <c r="Q49" i="21" s="1"/>
  <c r="O21" i="21"/>
  <c r="P47" i="21"/>
  <c r="P49" i="21" s="1"/>
  <c r="R21" i="21"/>
  <c r="P21" i="21"/>
  <c r="Q21" i="21"/>
  <c r="O47" i="21"/>
  <c r="O49" i="21" s="1"/>
  <c r="O24" i="7"/>
  <c r="O35" i="7"/>
  <c r="O34" i="7"/>
  <c r="O20" i="25"/>
  <c r="R20" i="25"/>
  <c r="Q14" i="25"/>
  <c r="P14" i="25"/>
  <c r="P14" i="26"/>
  <c r="Q14" i="26"/>
  <c r="R14" i="26"/>
  <c r="R15" i="26" s="1"/>
  <c r="O14" i="26"/>
  <c r="P15" i="24"/>
  <c r="P20" i="24"/>
  <c r="P21" i="24" s="1"/>
  <c r="Q20" i="24"/>
  <c r="Q21" i="24" s="1"/>
  <c r="Q15" i="24"/>
  <c r="O14" i="24"/>
  <c r="R20" i="24" l="1"/>
  <c r="R21" i="24" s="1"/>
  <c r="R35" i="7"/>
  <c r="R24" i="7"/>
  <c r="R28" i="7" s="1"/>
  <c r="R30" i="7" s="1"/>
  <c r="P20" i="25"/>
  <c r="Q20" i="25"/>
  <c r="R20" i="26"/>
  <c r="R21" i="26" s="1"/>
  <c r="P20" i="26"/>
  <c r="Q20" i="26"/>
  <c r="O20" i="26"/>
  <c r="O15" i="24"/>
  <c r="O20" i="24"/>
  <c r="O21" i="24" s="1"/>
  <c r="R9" i="1" l="1"/>
  <c r="R10" i="1" s="1"/>
  <c r="Q10" i="1"/>
  <c r="P9" i="1"/>
  <c r="P10" i="1" s="1"/>
  <c r="O9" i="1"/>
  <c r="O10" i="1" s="1"/>
  <c r="N32" i="22"/>
  <c r="P14" i="1" l="1"/>
  <c r="P15" i="1" s="1"/>
  <c r="R14" i="1"/>
  <c r="R15" i="1" s="1"/>
  <c r="O14" i="1"/>
  <c r="O15" i="1" s="1"/>
  <c r="Q14" i="1"/>
  <c r="Q15" i="1" s="1"/>
  <c r="M15" i="7"/>
  <c r="L15" i="7"/>
  <c r="K15" i="7"/>
  <c r="R20" i="1" l="1"/>
  <c r="R21" i="1" s="1"/>
  <c r="Q20" i="1"/>
  <c r="Q21" i="1" s="1"/>
  <c r="O20" i="1"/>
  <c r="O21" i="1" s="1"/>
  <c r="P20" i="1"/>
  <c r="P21" i="1" s="1"/>
  <c r="M13" i="23"/>
  <c r="M32" i="22" l="1"/>
  <c r="L10" i="13" l="1"/>
  <c r="L7" i="13"/>
  <c r="L6" i="13"/>
  <c r="L32" i="22"/>
  <c r="K13" i="23" l="1"/>
  <c r="K10" i="13"/>
  <c r="K11" i="13"/>
  <c r="K7" i="13"/>
  <c r="G7" i="13"/>
  <c r="K6" i="13"/>
  <c r="K31" i="22"/>
  <c r="K52" i="21"/>
  <c r="L13" i="23" l="1"/>
  <c r="N13" i="23"/>
  <c r="N11" i="13"/>
  <c r="M11" i="13"/>
  <c r="K32" i="22"/>
  <c r="N25" i="22"/>
  <c r="M25" i="22"/>
  <c r="L25" i="22"/>
  <c r="K25" i="22"/>
  <c r="N20" i="22"/>
  <c r="M20" i="22"/>
  <c r="L20" i="22"/>
  <c r="K20" i="22"/>
  <c r="N52" i="21"/>
  <c r="M52" i="21"/>
  <c r="L52" i="21"/>
  <c r="N45" i="21"/>
  <c r="M45" i="21"/>
  <c r="L45" i="21"/>
  <c r="K45" i="21"/>
  <c r="N35" i="21"/>
  <c r="M35" i="21"/>
  <c r="L35" i="21"/>
  <c r="K35" i="21"/>
  <c r="N28" i="21"/>
  <c r="M28" i="21"/>
  <c r="L28" i="21"/>
  <c r="K28" i="21"/>
  <c r="N19" i="21"/>
  <c r="M19" i="21"/>
  <c r="L19" i="21"/>
  <c r="K19" i="21"/>
  <c r="K51" i="21" s="1"/>
  <c r="N11" i="21"/>
  <c r="M11" i="21"/>
  <c r="L11" i="21"/>
  <c r="K11" i="21"/>
  <c r="N33" i="7"/>
  <c r="M33" i="7"/>
  <c r="L33" i="7"/>
  <c r="K33" i="7"/>
  <c r="N22" i="7"/>
  <c r="M22" i="7"/>
  <c r="L22" i="7"/>
  <c r="K22" i="7"/>
  <c r="N11" i="7"/>
  <c r="N13" i="7" s="1"/>
  <c r="N34" i="7" s="1"/>
  <c r="M11" i="7"/>
  <c r="M13" i="7" s="1"/>
  <c r="L11" i="7"/>
  <c r="L13" i="7" s="1"/>
  <c r="L34" i="7" s="1"/>
  <c r="K11" i="7"/>
  <c r="K13" i="7" s="1"/>
  <c r="K18" i="7" s="1"/>
  <c r="N9" i="26"/>
  <c r="N14" i="26" s="1"/>
  <c r="M9" i="26"/>
  <c r="M14" i="26" s="1"/>
  <c r="M20" i="26" s="1"/>
  <c r="L9" i="26"/>
  <c r="L14" i="26" s="1"/>
  <c r="K9" i="26"/>
  <c r="N9" i="25"/>
  <c r="N14" i="25" s="1"/>
  <c r="M9" i="25"/>
  <c r="M14" i="25" s="1"/>
  <c r="L9" i="25"/>
  <c r="K9" i="25"/>
  <c r="K14" i="25" s="1"/>
  <c r="N9" i="24"/>
  <c r="M9" i="24"/>
  <c r="L9" i="24"/>
  <c r="L10" i="24" s="1"/>
  <c r="K9" i="24"/>
  <c r="K10" i="24" s="1"/>
  <c r="N9" i="1"/>
  <c r="N10" i="1" s="1"/>
  <c r="M9" i="1"/>
  <c r="M10" i="1" s="1"/>
  <c r="L9" i="1"/>
  <c r="L10" i="1" s="1"/>
  <c r="K9" i="1"/>
  <c r="K10" i="1" s="1"/>
  <c r="N14" i="24" l="1"/>
  <c r="N15" i="24" s="1"/>
  <c r="N10" i="24"/>
  <c r="M14" i="24"/>
  <c r="M15" i="24" s="1"/>
  <c r="M10" i="24"/>
  <c r="M34" i="7"/>
  <c r="M18" i="7"/>
  <c r="L51" i="21"/>
  <c r="N47" i="21"/>
  <c r="N49" i="21" s="1"/>
  <c r="M21" i="21"/>
  <c r="N21" i="21"/>
  <c r="M51" i="21"/>
  <c r="K34" i="7"/>
  <c r="L11" i="13"/>
  <c r="K21" i="21"/>
  <c r="N39" i="22"/>
  <c r="O37" i="22" s="1"/>
  <c r="O39" i="22" s="1"/>
  <c r="P37" i="22" s="1"/>
  <c r="P39" i="22" s="1"/>
  <c r="Q37" i="22" s="1"/>
  <c r="Q39" i="22" s="1"/>
  <c r="R37" i="22" s="1"/>
  <c r="R39" i="22" s="1"/>
  <c r="N51" i="21"/>
  <c r="L21" i="21"/>
  <c r="K47" i="21"/>
  <c r="K49" i="21" s="1"/>
  <c r="M47" i="21"/>
  <c r="M49" i="21" s="1"/>
  <c r="L47" i="21"/>
  <c r="L49" i="21" s="1"/>
  <c r="L18" i="7"/>
  <c r="N18" i="7"/>
  <c r="L20" i="26"/>
  <c r="N20" i="26"/>
  <c r="K14" i="26"/>
  <c r="K20" i="26" s="1"/>
  <c r="K15" i="25"/>
  <c r="K20" i="25"/>
  <c r="K21" i="25" s="1"/>
  <c r="M20" i="25"/>
  <c r="N20" i="25"/>
  <c r="L14" i="25"/>
  <c r="K10" i="25"/>
  <c r="M20" i="24"/>
  <c r="M21" i="24" s="1"/>
  <c r="N20" i="24"/>
  <c r="N21" i="24" s="1"/>
  <c r="L14" i="24"/>
  <c r="L15" i="24" s="1"/>
  <c r="K14" i="24"/>
  <c r="K14" i="1"/>
  <c r="K20" i="1" s="1"/>
  <c r="N14" i="1"/>
  <c r="N15" i="1" s="1"/>
  <c r="L14" i="1"/>
  <c r="L15" i="1" s="1"/>
  <c r="M14" i="1"/>
  <c r="M15" i="1" s="1"/>
  <c r="J6" i="23"/>
  <c r="J9" i="23"/>
  <c r="K35" i="7" l="1"/>
  <c r="K24" i="7"/>
  <c r="K28" i="7" s="1"/>
  <c r="K30" i="7" s="1"/>
  <c r="N24" i="7"/>
  <c r="N28" i="7" s="1"/>
  <c r="N30" i="7" s="1"/>
  <c r="N35" i="7"/>
  <c r="L24" i="7"/>
  <c r="L28" i="7" s="1"/>
  <c r="L30" i="7" s="1"/>
  <c r="L35" i="7"/>
  <c r="M24" i="7"/>
  <c r="M28" i="7" s="1"/>
  <c r="M30" i="7" s="1"/>
  <c r="M35" i="7"/>
  <c r="L20" i="25"/>
  <c r="K15" i="24"/>
  <c r="K20" i="24"/>
  <c r="K21" i="24" s="1"/>
  <c r="L20" i="24"/>
  <c r="L21" i="24" s="1"/>
  <c r="N20" i="1"/>
  <c r="N21" i="1" s="1"/>
  <c r="K15" i="1"/>
  <c r="K21" i="1"/>
  <c r="M20" i="1"/>
  <c r="M21" i="1" s="1"/>
  <c r="L20" i="1"/>
  <c r="L21" i="1" s="1"/>
  <c r="J32" i="22"/>
  <c r="H52" i="21"/>
  <c r="I52" i="21"/>
  <c r="J52" i="21"/>
  <c r="G52" i="21"/>
  <c r="M37" i="7" l="1"/>
  <c r="M36" i="7"/>
  <c r="K37" i="7"/>
  <c r="K36" i="7"/>
  <c r="C19" i="22" l="1"/>
  <c r="D19" i="22"/>
  <c r="E19" i="22"/>
  <c r="F19" i="22"/>
  <c r="C32" i="22"/>
  <c r="D32" i="22"/>
  <c r="E32" i="22"/>
  <c r="F32" i="22"/>
  <c r="I35" i="21" l="1"/>
  <c r="H35" i="21"/>
  <c r="G19" i="22"/>
  <c r="H19" i="22"/>
  <c r="G32" i="22"/>
  <c r="H32" i="22"/>
  <c r="I32" i="22"/>
  <c r="H10" i="13" l="1"/>
  <c r="H6" i="13"/>
  <c r="F22" i="22"/>
  <c r="E22" i="22"/>
  <c r="D22" i="22"/>
  <c r="C22" i="22"/>
  <c r="J13" i="23" l="1"/>
  <c r="I13" i="23"/>
  <c r="H13" i="23"/>
  <c r="G13" i="23"/>
  <c r="G10" i="13"/>
  <c r="G6" i="13"/>
  <c r="J11" i="13"/>
  <c r="I11" i="13"/>
  <c r="H11" i="13"/>
  <c r="J25" i="22"/>
  <c r="I25" i="22"/>
  <c r="H25" i="22"/>
  <c r="G25" i="22"/>
  <c r="J20" i="22"/>
  <c r="I20" i="22"/>
  <c r="I36" i="22" s="1"/>
  <c r="H20" i="22"/>
  <c r="G20" i="22"/>
  <c r="H36" i="22" l="1"/>
  <c r="G11" i="13"/>
  <c r="G36" i="22"/>
  <c r="J36" i="22"/>
  <c r="J45" i="21" l="1"/>
  <c r="I45" i="21"/>
  <c r="H45" i="21"/>
  <c r="J35" i="21"/>
  <c r="G35" i="21"/>
  <c r="J28" i="21"/>
  <c r="I28" i="21"/>
  <c r="I47" i="21" s="1"/>
  <c r="H28" i="21"/>
  <c r="G28" i="21"/>
  <c r="J19" i="21"/>
  <c r="J51" i="21" s="1"/>
  <c r="I19" i="21"/>
  <c r="I51" i="21" s="1"/>
  <c r="H19" i="21"/>
  <c r="H51" i="21" s="1"/>
  <c r="G19" i="21"/>
  <c r="J11" i="21"/>
  <c r="I11" i="21"/>
  <c r="H11" i="21"/>
  <c r="G11" i="21"/>
  <c r="J33" i="7"/>
  <c r="I33" i="7"/>
  <c r="H33" i="7"/>
  <c r="G33" i="7"/>
  <c r="J22" i="7"/>
  <c r="I22" i="7"/>
  <c r="H22" i="7"/>
  <c r="G22" i="7"/>
  <c r="J11" i="7"/>
  <c r="J13" i="7" s="1"/>
  <c r="J34" i="7" s="1"/>
  <c r="I11" i="7"/>
  <c r="I13" i="7" s="1"/>
  <c r="I34" i="7" s="1"/>
  <c r="H11" i="7"/>
  <c r="H13" i="7" s="1"/>
  <c r="H34" i="7" s="1"/>
  <c r="G11" i="7"/>
  <c r="G13" i="7" s="1"/>
  <c r="J9" i="26"/>
  <c r="J14" i="26" s="1"/>
  <c r="I9" i="26"/>
  <c r="I14" i="26" s="1"/>
  <c r="H9" i="26"/>
  <c r="H14" i="26" s="1"/>
  <c r="G9" i="26"/>
  <c r="G14" i="26" s="1"/>
  <c r="F9" i="26"/>
  <c r="F14" i="26" s="1"/>
  <c r="E9" i="26"/>
  <c r="E14" i="26" s="1"/>
  <c r="D9" i="26"/>
  <c r="C9" i="26"/>
  <c r="C14" i="26" s="1"/>
  <c r="J9" i="25"/>
  <c r="J14" i="25" s="1"/>
  <c r="I9" i="25"/>
  <c r="I10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J9" i="24"/>
  <c r="J14" i="24" s="1"/>
  <c r="I9" i="24"/>
  <c r="I14" i="24" s="1"/>
  <c r="H9" i="24"/>
  <c r="H14" i="24" s="1"/>
  <c r="G9" i="24"/>
  <c r="G14" i="24" s="1"/>
  <c r="G20" i="24" s="1"/>
  <c r="F9" i="24"/>
  <c r="F14" i="24" s="1"/>
  <c r="E9" i="24"/>
  <c r="E14" i="24" s="1"/>
  <c r="D9" i="24"/>
  <c r="D10" i="24" s="1"/>
  <c r="C9" i="24"/>
  <c r="C14" i="24" s="1"/>
  <c r="I9" i="1"/>
  <c r="I10" i="1" s="1"/>
  <c r="G9" i="1"/>
  <c r="J9" i="1"/>
  <c r="H9" i="1"/>
  <c r="G34" i="7" l="1"/>
  <c r="G18" i="7"/>
  <c r="J21" i="21"/>
  <c r="G45" i="21"/>
  <c r="G47" i="21" s="1"/>
  <c r="G49" i="21" s="1"/>
  <c r="G21" i="21"/>
  <c r="H47" i="21"/>
  <c r="H49" i="21" s="1"/>
  <c r="H21" i="21"/>
  <c r="I21" i="21"/>
  <c r="I49" i="21"/>
  <c r="J47" i="21"/>
  <c r="J49" i="21" s="1"/>
  <c r="I18" i="7"/>
  <c r="H18" i="7"/>
  <c r="J18" i="7"/>
  <c r="C20" i="26"/>
  <c r="F20" i="26"/>
  <c r="G20" i="26"/>
  <c r="J20" i="26"/>
  <c r="E20" i="26"/>
  <c r="H20" i="26"/>
  <c r="I20" i="26"/>
  <c r="D14" i="26"/>
  <c r="J15" i="25"/>
  <c r="J20" i="25"/>
  <c r="J21" i="25" s="1"/>
  <c r="C20" i="25"/>
  <c r="C21" i="25" s="1"/>
  <c r="C15" i="25"/>
  <c r="D15" i="25"/>
  <c r="D20" i="25"/>
  <c r="D21" i="25" s="1"/>
  <c r="E20" i="25"/>
  <c r="E21" i="25" s="1"/>
  <c r="E15" i="25"/>
  <c r="F20" i="25"/>
  <c r="F21" i="25" s="1"/>
  <c r="F15" i="25"/>
  <c r="G20" i="25"/>
  <c r="G21" i="25" s="1"/>
  <c r="G15" i="25"/>
  <c r="H20" i="25"/>
  <c r="H21" i="25" s="1"/>
  <c r="H15" i="25"/>
  <c r="C10" i="25"/>
  <c r="J10" i="25"/>
  <c r="D10" i="25"/>
  <c r="E10" i="25"/>
  <c r="I14" i="25"/>
  <c r="F10" i="25"/>
  <c r="G10" i="25"/>
  <c r="H10" i="25"/>
  <c r="E20" i="24"/>
  <c r="E21" i="24" s="1"/>
  <c r="E15" i="24"/>
  <c r="F20" i="24"/>
  <c r="F21" i="24" s="1"/>
  <c r="F15" i="24"/>
  <c r="J15" i="24"/>
  <c r="J20" i="24"/>
  <c r="J21" i="24" s="1"/>
  <c r="G21" i="24"/>
  <c r="G15" i="24"/>
  <c r="I20" i="24"/>
  <c r="I21" i="24" s="1"/>
  <c r="I15" i="24"/>
  <c r="C20" i="24"/>
  <c r="C21" i="24" s="1"/>
  <c r="C15" i="24"/>
  <c r="H20" i="24"/>
  <c r="H21" i="24" s="1"/>
  <c r="H15" i="24"/>
  <c r="J10" i="24"/>
  <c r="C10" i="24"/>
  <c r="E10" i="24"/>
  <c r="I10" i="24"/>
  <c r="F10" i="24"/>
  <c r="D14" i="24"/>
  <c r="G10" i="24"/>
  <c r="H10" i="24"/>
  <c r="J10" i="1"/>
  <c r="J14" i="1"/>
  <c r="J20" i="1" s="1"/>
  <c r="G14" i="1"/>
  <c r="G20" i="1" s="1"/>
  <c r="G10" i="1"/>
  <c r="H14" i="1"/>
  <c r="H20" i="1" s="1"/>
  <c r="H10" i="1"/>
  <c r="I14" i="1"/>
  <c r="I20" i="1" s="1"/>
  <c r="G35" i="7" l="1"/>
  <c r="G24" i="7"/>
  <c r="G28" i="7" s="1"/>
  <c r="G30" i="7" s="1"/>
  <c r="I35" i="7"/>
  <c r="I24" i="7"/>
  <c r="H35" i="7"/>
  <c r="H24" i="7"/>
  <c r="H28" i="7" s="1"/>
  <c r="H30" i="7" s="1"/>
  <c r="J35" i="7"/>
  <c r="J24" i="7"/>
  <c r="D20" i="26"/>
  <c r="I15" i="25"/>
  <c r="I20" i="25"/>
  <c r="I21" i="25" s="1"/>
  <c r="D20" i="24"/>
  <c r="D21" i="24" s="1"/>
  <c r="D15" i="24"/>
  <c r="G15" i="1"/>
  <c r="G21" i="1"/>
  <c r="I15" i="1"/>
  <c r="I21" i="1"/>
  <c r="H15" i="1"/>
  <c r="H21" i="1"/>
  <c r="J15" i="1"/>
  <c r="J21" i="1"/>
  <c r="F33" i="7"/>
  <c r="J28" i="7" l="1"/>
  <c r="J30" i="7" s="1"/>
  <c r="I28" i="7"/>
  <c r="I30" i="7" s="1"/>
  <c r="G37" i="7"/>
  <c r="G36" i="7"/>
  <c r="H36" i="7"/>
  <c r="H37" i="7"/>
  <c r="F6" i="13"/>
  <c r="I36" i="7" l="1"/>
  <c r="I37" i="7"/>
  <c r="Q7" i="15"/>
  <c r="Q6" i="15"/>
  <c r="AF10" i="15"/>
  <c r="Q11" i="15" l="1"/>
  <c r="E33" i="7" l="1"/>
  <c r="F13" i="23" l="1"/>
  <c r="E13" i="23"/>
  <c r="D13" i="23"/>
  <c r="C13" i="23"/>
  <c r="P6" i="15"/>
  <c r="P7" i="15"/>
  <c r="P11" i="15" l="1"/>
  <c r="D11" i="13"/>
  <c r="D33" i="7" l="1"/>
  <c r="F25" i="22" l="1"/>
  <c r="E25" i="22"/>
  <c r="D25" i="22"/>
  <c r="C25" i="22"/>
  <c r="F20" i="22"/>
  <c r="E20" i="22"/>
  <c r="D20" i="22"/>
  <c r="C20" i="22"/>
  <c r="O7" i="15"/>
  <c r="Z7" i="15" s="1"/>
  <c r="O11" i="15"/>
  <c r="Z11" i="15" s="1"/>
  <c r="O6" i="15"/>
  <c r="Z6" i="15" s="1"/>
  <c r="AH20" i="15"/>
  <c r="AH15" i="15"/>
  <c r="AH11" i="15"/>
  <c r="AH10" i="15"/>
  <c r="AH8" i="15"/>
  <c r="R44" i="15"/>
  <c r="R65" i="15" s="1"/>
  <c r="Q44" i="15"/>
  <c r="P44" i="15"/>
  <c r="O44" i="15"/>
  <c r="R43" i="15"/>
  <c r="R64" i="15" s="1"/>
  <c r="Q43" i="15"/>
  <c r="P43" i="15"/>
  <c r="O43" i="15"/>
  <c r="R38" i="15"/>
  <c r="R59" i="15" s="1"/>
  <c r="Q38" i="15"/>
  <c r="P38" i="15"/>
  <c r="O38" i="15"/>
  <c r="R34" i="15"/>
  <c r="R55" i="15" s="1"/>
  <c r="Q34" i="15"/>
  <c r="Q55" i="15" s="1"/>
  <c r="P34" i="15"/>
  <c r="P55" i="15" s="1"/>
  <c r="O34" i="15"/>
  <c r="R33" i="15"/>
  <c r="R54" i="15" s="1"/>
  <c r="Q33" i="15"/>
  <c r="P33" i="15"/>
  <c r="O33" i="15"/>
  <c r="R31" i="15"/>
  <c r="Q31" i="15"/>
  <c r="P31" i="15"/>
  <c r="O31" i="15"/>
  <c r="F9" i="1"/>
  <c r="F14" i="1" s="1"/>
  <c r="F20" i="1" s="1"/>
  <c r="P5" i="15"/>
  <c r="P8" i="15" s="1"/>
  <c r="R8" i="15"/>
  <c r="R12" i="15" s="1"/>
  <c r="C36" i="22" l="1"/>
  <c r="E9" i="1"/>
  <c r="E14" i="1" s="1"/>
  <c r="E20" i="1" s="1"/>
  <c r="Q5" i="15"/>
  <c r="Q8" i="15" s="1"/>
  <c r="Q52" i="15" s="1"/>
  <c r="F36" i="22"/>
  <c r="D36" i="22"/>
  <c r="O55" i="15"/>
  <c r="E36" i="22"/>
  <c r="D9" i="1"/>
  <c r="D14" i="1" s="1"/>
  <c r="D20" i="1" s="1"/>
  <c r="AP11" i="15"/>
  <c r="AH12" i="15"/>
  <c r="AH17" i="15" s="1"/>
  <c r="AH18" i="15" s="1"/>
  <c r="P52" i="15"/>
  <c r="R52" i="15"/>
  <c r="O35" i="15"/>
  <c r="P35" i="15"/>
  <c r="Q35" i="15"/>
  <c r="R35" i="15"/>
  <c r="F21" i="1"/>
  <c r="F15" i="1"/>
  <c r="R17" i="15"/>
  <c r="R13" i="15"/>
  <c r="F10" i="1"/>
  <c r="E10" i="1" l="1"/>
  <c r="Q10" i="15" s="1"/>
  <c r="Q54" i="15" s="1"/>
  <c r="C9" i="1"/>
  <c r="C10" i="1" s="1"/>
  <c r="O10" i="15" s="1"/>
  <c r="O5" i="15"/>
  <c r="D10" i="1"/>
  <c r="P10" i="15" s="1"/>
  <c r="AH13" i="15"/>
  <c r="AH24" i="15"/>
  <c r="AH25" i="15" s="1"/>
  <c r="Q40" i="15"/>
  <c r="Q36" i="15"/>
  <c r="R56" i="15"/>
  <c r="R40" i="15"/>
  <c r="R36" i="15"/>
  <c r="P40" i="15"/>
  <c r="P36" i="15"/>
  <c r="O36" i="15"/>
  <c r="O40" i="15"/>
  <c r="D15" i="1"/>
  <c r="E15" i="1"/>
  <c r="Q15" i="15" s="1"/>
  <c r="Q59" i="15" s="1"/>
  <c r="Q20" i="15"/>
  <c r="R18" i="15"/>
  <c r="R24" i="15"/>
  <c r="R25" i="15" s="1"/>
  <c r="P15" i="15" l="1"/>
  <c r="P59" i="15" s="1"/>
  <c r="Q12" i="15"/>
  <c r="Q17" i="15" s="1"/>
  <c r="P21" i="15"/>
  <c r="P20" i="15"/>
  <c r="C14" i="1"/>
  <c r="C20" i="1" s="1"/>
  <c r="Z10" i="15"/>
  <c r="AP10" i="15" s="1"/>
  <c r="P54" i="15"/>
  <c r="P12" i="15"/>
  <c r="E21" i="1"/>
  <c r="Q22" i="15" s="1"/>
  <c r="Q65" i="15" s="1"/>
  <c r="Q21" i="15"/>
  <c r="Q64" i="15" s="1"/>
  <c r="O54" i="15"/>
  <c r="Z5" i="15"/>
  <c r="Z8" i="15" s="1"/>
  <c r="O8" i="15"/>
  <c r="D21" i="1"/>
  <c r="P22" i="15" s="1"/>
  <c r="P65" i="15" s="1"/>
  <c r="R61" i="15"/>
  <c r="R57" i="15"/>
  <c r="Q46" i="15"/>
  <c r="Q41" i="15"/>
  <c r="P46" i="15"/>
  <c r="P41" i="15"/>
  <c r="O46" i="15"/>
  <c r="O41" i="15"/>
  <c r="R46" i="15"/>
  <c r="R41" i="15"/>
  <c r="Q56" i="15" l="1"/>
  <c r="Q57" i="15" s="1"/>
  <c r="P64" i="15"/>
  <c r="Q13" i="15"/>
  <c r="C15" i="1"/>
  <c r="O15" i="15" s="1"/>
  <c r="O59" i="15" s="1"/>
  <c r="C21" i="1"/>
  <c r="O20" i="15"/>
  <c r="Z20" i="15" s="1"/>
  <c r="P17" i="15"/>
  <c r="P13" i="15"/>
  <c r="P56" i="15"/>
  <c r="Z12" i="15"/>
  <c r="AP8" i="15"/>
  <c r="AP12" i="15" s="1"/>
  <c r="Q24" i="15"/>
  <c r="Q25" i="15" s="1"/>
  <c r="Q18" i="15"/>
  <c r="O52" i="15"/>
  <c r="O12" i="15"/>
  <c r="R67" i="15"/>
  <c r="R62" i="15"/>
  <c r="Z15" i="15" l="1"/>
  <c r="AP15" i="15" s="1"/>
  <c r="AP17" i="15" s="1"/>
  <c r="Q61" i="15"/>
  <c r="Q62" i="15" s="1"/>
  <c r="O22" i="15"/>
  <c r="O21" i="15"/>
  <c r="Z13" i="15"/>
  <c r="P24" i="15"/>
  <c r="P25" i="15" s="1"/>
  <c r="P18" i="15"/>
  <c r="AP13" i="15"/>
  <c r="O13" i="15"/>
  <c r="O56" i="15"/>
  <c r="O17" i="15"/>
  <c r="P57" i="15"/>
  <c r="P61" i="15"/>
  <c r="Q67" i="15" l="1"/>
  <c r="Z17" i="15"/>
  <c r="Z18" i="15" s="1"/>
  <c r="Z21" i="15"/>
  <c r="O64" i="15"/>
  <c r="Z22" i="15"/>
  <c r="O65" i="15"/>
  <c r="O61" i="15"/>
  <c r="O57" i="15"/>
  <c r="AP18" i="15"/>
  <c r="P67" i="15"/>
  <c r="P62" i="15"/>
  <c r="O24" i="15"/>
  <c r="O25" i="15" s="1"/>
  <c r="O18" i="15"/>
  <c r="AP20" i="15" l="1"/>
  <c r="AP24" i="15" s="1"/>
  <c r="AP25" i="15" s="1"/>
  <c r="Z24" i="15"/>
  <c r="Z25" i="15" s="1"/>
  <c r="O67" i="15"/>
  <c r="O62" i="15"/>
  <c r="C39" i="22" l="1"/>
  <c r="D37" i="22" s="1"/>
  <c r="D39" i="22" l="1"/>
  <c r="E37" i="22" l="1"/>
  <c r="E39" i="22" s="1"/>
  <c r="F37" i="22" s="1"/>
  <c r="F39" i="22" s="1"/>
  <c r="G37" i="22" s="1"/>
  <c r="G39" i="22" s="1"/>
  <c r="C33" i="7"/>
  <c r="F22" i="7"/>
  <c r="E22" i="7"/>
  <c r="D22" i="7"/>
  <c r="C22" i="7"/>
  <c r="F11" i="7"/>
  <c r="F13" i="7" s="1"/>
  <c r="F34" i="7" s="1"/>
  <c r="E11" i="7"/>
  <c r="E13" i="7" s="1"/>
  <c r="D11" i="7"/>
  <c r="D13" i="7" s="1"/>
  <c r="D34" i="7" s="1"/>
  <c r="C11" i="7"/>
  <c r="C13" i="7" s="1"/>
  <c r="E34" i="7" l="1"/>
  <c r="E18" i="7"/>
  <c r="H37" i="22"/>
  <c r="H39" i="22" s="1"/>
  <c r="C34" i="7"/>
  <c r="C18" i="7"/>
  <c r="D18" i="7"/>
  <c r="D35" i="7" s="1"/>
  <c r="E35" i="7"/>
  <c r="F18" i="7"/>
  <c r="F35" i="7" s="1"/>
  <c r="I37" i="22" l="1"/>
  <c r="I39" i="22" s="1"/>
  <c r="J39" i="22" s="1"/>
  <c r="K37" i="22" s="1"/>
  <c r="K39" i="22" s="1"/>
  <c r="F24" i="7"/>
  <c r="F28" i="7" s="1"/>
  <c r="F30" i="7" s="1"/>
  <c r="D24" i="7"/>
  <c r="D28" i="7" s="1"/>
  <c r="D30" i="7" s="1"/>
  <c r="E24" i="7"/>
  <c r="E28" i="7" s="1"/>
  <c r="E30" i="7" s="1"/>
  <c r="E37" i="7" s="1"/>
  <c r="C35" i="7"/>
  <c r="C24" i="7"/>
  <c r="C28" i="7" s="1"/>
  <c r="C30" i="7" s="1"/>
  <c r="L37" i="22" l="1"/>
  <c r="L39" i="22" s="1"/>
  <c r="F36" i="7"/>
  <c r="F37" i="7"/>
  <c r="E36" i="7"/>
  <c r="D37" i="7"/>
  <c r="D36" i="7"/>
  <c r="C37" i="7"/>
  <c r="C36" i="7"/>
  <c r="M37" i="22" l="1"/>
  <c r="M39" i="22" s="1"/>
  <c r="F11" i="13"/>
  <c r="E11" i="13"/>
  <c r="C11" i="13"/>
  <c r="C52" i="21"/>
  <c r="C28" i="21"/>
  <c r="C35" i="21"/>
  <c r="D35" i="21"/>
  <c r="E35" i="21"/>
  <c r="F35" i="21"/>
  <c r="C11" i="21"/>
  <c r="D11" i="21"/>
  <c r="E11" i="21"/>
  <c r="F11" i="21"/>
  <c r="F52" i="21"/>
  <c r="E52" i="21"/>
  <c r="D52" i="21"/>
  <c r="F45" i="21"/>
  <c r="E45" i="21"/>
  <c r="D45" i="21"/>
  <c r="C45" i="21"/>
  <c r="F28" i="21"/>
  <c r="E28" i="21"/>
  <c r="D28" i="21"/>
  <c r="F19" i="21"/>
  <c r="E19" i="21"/>
  <c r="D19" i="21"/>
  <c r="C19" i="21"/>
  <c r="C51" i="21" l="1"/>
  <c r="E21" i="21"/>
  <c r="D51" i="21"/>
  <c r="F51" i="21"/>
  <c r="E51" i="21"/>
  <c r="F21" i="21"/>
  <c r="C21" i="21"/>
  <c r="D21" i="21"/>
  <c r="C47" i="21"/>
  <c r="C49" i="21" s="1"/>
  <c r="D47" i="21"/>
  <c r="D49" i="21" s="1"/>
  <c r="E47" i="21"/>
  <c r="E49" i="21" s="1"/>
  <c r="F47" i="21"/>
  <c r="F49" i="21" s="1"/>
  <c r="C43" i="15" l="1"/>
  <c r="D43" i="15"/>
  <c r="E43" i="15"/>
  <c r="F43" i="15"/>
  <c r="G43" i="15"/>
  <c r="H43" i="15"/>
  <c r="I43" i="15"/>
  <c r="J43" i="15"/>
  <c r="K43" i="15"/>
  <c r="L43" i="15"/>
  <c r="M43" i="15"/>
  <c r="N43" i="15"/>
  <c r="D44" i="15"/>
  <c r="E44" i="15"/>
  <c r="F44" i="15"/>
  <c r="G44" i="15"/>
  <c r="H44" i="15"/>
  <c r="I44" i="15"/>
  <c r="J44" i="15"/>
  <c r="K44" i="15"/>
  <c r="L44" i="15"/>
  <c r="M44" i="15"/>
  <c r="N44" i="15"/>
  <c r="C44" i="15"/>
  <c r="D38" i="15"/>
  <c r="E38" i="15"/>
  <c r="F38" i="15"/>
  <c r="G38" i="15"/>
  <c r="H38" i="15"/>
  <c r="I38" i="15"/>
  <c r="J38" i="15"/>
  <c r="K38" i="15"/>
  <c r="L38" i="15"/>
  <c r="M38" i="15"/>
  <c r="N38" i="15"/>
  <c r="C38" i="15"/>
  <c r="D33" i="15"/>
  <c r="E33" i="15"/>
  <c r="F33" i="15"/>
  <c r="G33" i="15"/>
  <c r="H33" i="15"/>
  <c r="I33" i="15"/>
  <c r="J33" i="15"/>
  <c r="K33" i="15"/>
  <c r="L33" i="15"/>
  <c r="M33" i="15"/>
  <c r="N33" i="15"/>
  <c r="D34" i="15"/>
  <c r="E34" i="15"/>
  <c r="F34" i="15"/>
  <c r="G34" i="15"/>
  <c r="H34" i="15"/>
  <c r="I34" i="15"/>
  <c r="J34" i="15"/>
  <c r="K34" i="15"/>
  <c r="L34" i="15"/>
  <c r="M34" i="15"/>
  <c r="N34" i="15"/>
  <c r="C34" i="15"/>
  <c r="C33" i="15"/>
  <c r="D31" i="15"/>
  <c r="E31" i="15"/>
  <c r="F31" i="15"/>
  <c r="G31" i="15"/>
  <c r="H31" i="15"/>
  <c r="I31" i="15"/>
  <c r="J31" i="15"/>
  <c r="K31" i="15"/>
  <c r="L31" i="15"/>
  <c r="M31" i="15"/>
  <c r="N31" i="15"/>
  <c r="C31" i="15"/>
  <c r="AF20" i="15"/>
  <c r="AD20" i="15"/>
  <c r="AB20" i="15"/>
  <c r="I35" i="15" l="1"/>
  <c r="N35" i="15"/>
  <c r="N40" i="15" s="1"/>
  <c r="N46" i="15" s="1"/>
  <c r="J35" i="15"/>
  <c r="J40" i="15" s="1"/>
  <c r="J46" i="15" s="1"/>
  <c r="F35" i="15"/>
  <c r="F40" i="15" s="1"/>
  <c r="F46" i="15" s="1"/>
  <c r="M35" i="15"/>
  <c r="M36" i="15" s="1"/>
  <c r="H35" i="15"/>
  <c r="H40" i="15" s="1"/>
  <c r="H46" i="15" s="1"/>
  <c r="I40" i="15"/>
  <c r="I46" i="15" s="1"/>
  <c r="C35" i="15"/>
  <c r="C40" i="15" s="1"/>
  <c r="C46" i="15" s="1"/>
  <c r="D35" i="15"/>
  <c r="D36" i="15" s="1"/>
  <c r="E35" i="15"/>
  <c r="E40" i="15" s="1"/>
  <c r="E46" i="15" s="1"/>
  <c r="G35" i="15"/>
  <c r="G36" i="15" s="1"/>
  <c r="L35" i="15"/>
  <c r="L36" i="15" s="1"/>
  <c r="K35" i="15"/>
  <c r="I36" i="15"/>
  <c r="J36" i="15" l="1"/>
  <c r="N36" i="15"/>
  <c r="F36" i="15"/>
  <c r="M40" i="15"/>
  <c r="M46" i="15" s="1"/>
  <c r="E36" i="15"/>
  <c r="H36" i="15"/>
  <c r="I41" i="15"/>
  <c r="G40" i="15"/>
  <c r="G46" i="15" s="1"/>
  <c r="C36" i="15"/>
  <c r="L40" i="15"/>
  <c r="L46" i="15" s="1"/>
  <c r="D40" i="15"/>
  <c r="D46" i="15" s="1"/>
  <c r="H41" i="15"/>
  <c r="K36" i="15"/>
  <c r="K40" i="15"/>
  <c r="K46" i="15" s="1"/>
  <c r="C41" i="15"/>
  <c r="M41" i="15"/>
  <c r="F41" i="15"/>
  <c r="N41" i="15"/>
  <c r="E41" i="15"/>
  <c r="J41" i="15"/>
  <c r="G41" i="15" l="1"/>
  <c r="L41" i="15"/>
  <c r="D41" i="15"/>
  <c r="K41" i="15"/>
  <c r="AF15" i="15" l="1"/>
  <c r="AD15" i="15"/>
  <c r="AB15" i="15"/>
  <c r="AF11" i="15"/>
  <c r="AD11" i="15"/>
  <c r="AB11" i="15"/>
  <c r="AD10" i="15"/>
  <c r="AB10" i="15"/>
  <c r="AF8" i="15"/>
  <c r="AD8" i="15"/>
  <c r="AB8" i="15"/>
  <c r="N11" i="15"/>
  <c r="N55" i="15" s="1"/>
  <c r="M11" i="15"/>
  <c r="M55" i="15" s="1"/>
  <c r="L11" i="15"/>
  <c r="L55" i="15" s="1"/>
  <c r="K11" i="15"/>
  <c r="K55" i="15" s="1"/>
  <c r="J11" i="15"/>
  <c r="J55" i="15" s="1"/>
  <c r="I11" i="15"/>
  <c r="I55" i="15" s="1"/>
  <c r="H11" i="15"/>
  <c r="H55" i="15" s="1"/>
  <c r="G11" i="15"/>
  <c r="G55" i="15" s="1"/>
  <c r="F11" i="15"/>
  <c r="F55" i="15" s="1"/>
  <c r="E11" i="15"/>
  <c r="E55" i="15" s="1"/>
  <c r="D11" i="15"/>
  <c r="D55" i="15" s="1"/>
  <c r="C11" i="15"/>
  <c r="C55" i="15" s="1"/>
  <c r="X11" i="15" l="1"/>
  <c r="AN11" i="15" s="1"/>
  <c r="V11" i="15" l="1"/>
  <c r="AL11" i="15" s="1"/>
  <c r="C6" i="15"/>
  <c r="D6" i="15"/>
  <c r="E6" i="15"/>
  <c r="F6" i="15"/>
  <c r="G6" i="15"/>
  <c r="H6" i="15"/>
  <c r="I6" i="15"/>
  <c r="J6" i="15"/>
  <c r="K6" i="15"/>
  <c r="L6" i="15"/>
  <c r="M6" i="15"/>
  <c r="N6" i="15"/>
  <c r="C7" i="15"/>
  <c r="D7" i="15"/>
  <c r="E7" i="15"/>
  <c r="F7" i="15"/>
  <c r="G7" i="15"/>
  <c r="H7" i="15"/>
  <c r="I7" i="15"/>
  <c r="J7" i="15"/>
  <c r="K7" i="15"/>
  <c r="L7" i="15"/>
  <c r="M7" i="15"/>
  <c r="N7" i="15"/>
  <c r="V7" i="15" l="1"/>
  <c r="X6" i="15"/>
  <c r="X7" i="15"/>
  <c r="V6" i="15"/>
  <c r="AB12" i="15" l="1"/>
  <c r="AF12" i="15"/>
  <c r="AF17" i="15" l="1"/>
  <c r="AF13" i="15"/>
  <c r="AB17" i="15"/>
  <c r="AB13" i="15"/>
  <c r="AF24" i="15" l="1"/>
  <c r="AF25" i="15" s="1"/>
  <c r="AF18" i="15"/>
  <c r="AB24" i="15"/>
  <c r="AB25" i="15" s="1"/>
  <c r="AB18" i="15"/>
  <c r="T11" i="15" l="1"/>
  <c r="AJ11" i="15" s="1"/>
  <c r="T7" i="15"/>
  <c r="T6" i="15"/>
  <c r="AD12" i="15" l="1"/>
  <c r="AD17" i="15" l="1"/>
  <c r="AD13" i="15"/>
  <c r="AD24" i="15" l="1"/>
  <c r="AD25" i="15" s="1"/>
  <c r="AD18" i="15"/>
  <c r="F5" i="15" l="1"/>
  <c r="F8" i="15" s="1"/>
  <c r="E5" i="15"/>
  <c r="E8" i="15" s="1"/>
  <c r="D5" i="15"/>
  <c r="D8" i="15" s="1"/>
  <c r="C5" i="15"/>
  <c r="T5" i="15" l="1"/>
  <c r="T8" i="15" s="1"/>
  <c r="C8" i="15"/>
  <c r="E52" i="15"/>
  <c r="F52" i="15"/>
  <c r="D52" i="15"/>
  <c r="C10" i="15"/>
  <c r="C54" i="15" l="1"/>
  <c r="C12" i="15"/>
  <c r="C52" i="15"/>
  <c r="AJ8" i="15"/>
  <c r="C15" i="15"/>
  <c r="D10" i="15"/>
  <c r="E10" i="15"/>
  <c r="F10" i="15"/>
  <c r="F20" i="15"/>
  <c r="F15" i="15"/>
  <c r="F59" i="15" s="1"/>
  <c r="C20" i="15"/>
  <c r="E15" i="15"/>
  <c r="E59" i="15" s="1"/>
  <c r="E20" i="15"/>
  <c r="D15" i="15"/>
  <c r="D59" i="15" s="1"/>
  <c r="D20" i="15"/>
  <c r="T20" i="15" l="1"/>
  <c r="T10" i="15"/>
  <c r="AJ10" i="15" s="1"/>
  <c r="AJ12" i="15" s="1"/>
  <c r="C59" i="15"/>
  <c r="T15" i="15"/>
  <c r="AJ15" i="15" s="1"/>
  <c r="D54" i="15"/>
  <c r="D12" i="15"/>
  <c r="E22" i="15"/>
  <c r="E65" i="15" s="1"/>
  <c r="E21" i="15"/>
  <c r="E64" i="15" s="1"/>
  <c r="C22" i="15"/>
  <c r="F22" i="15"/>
  <c r="F65" i="15" s="1"/>
  <c r="F21" i="15"/>
  <c r="F64" i="15" s="1"/>
  <c r="C56" i="15"/>
  <c r="C13" i="15"/>
  <c r="C17" i="15"/>
  <c r="F54" i="15"/>
  <c r="F12" i="15"/>
  <c r="D22" i="15"/>
  <c r="D65" i="15" s="1"/>
  <c r="D21" i="15"/>
  <c r="D64" i="15" s="1"/>
  <c r="E54" i="15"/>
  <c r="E12" i="15"/>
  <c r="C21" i="15" l="1"/>
  <c r="T21" i="15" s="1"/>
  <c r="T12" i="15"/>
  <c r="T13" i="15" s="1"/>
  <c r="AJ17" i="15"/>
  <c r="AJ18" i="15" s="1"/>
  <c r="AJ13" i="15"/>
  <c r="C61" i="15"/>
  <c r="C57" i="15"/>
  <c r="D56" i="15"/>
  <c r="D13" i="15"/>
  <c r="D17" i="15"/>
  <c r="E17" i="15"/>
  <c r="E56" i="15"/>
  <c r="E13" i="15"/>
  <c r="C65" i="15"/>
  <c r="T22" i="15"/>
  <c r="F17" i="15"/>
  <c r="F56" i="15"/>
  <c r="F13" i="15"/>
  <c r="C18" i="15"/>
  <c r="T17" i="15" l="1"/>
  <c r="T18" i="15" s="1"/>
  <c r="C64" i="15"/>
  <c r="C67" i="15" s="1"/>
  <c r="C24" i="15"/>
  <c r="C25" i="15" s="1"/>
  <c r="AJ20" i="15"/>
  <c r="AJ24" i="15" s="1"/>
  <c r="AJ25" i="15" s="1"/>
  <c r="D61" i="15"/>
  <c r="D57" i="15"/>
  <c r="E61" i="15"/>
  <c r="E57" i="15"/>
  <c r="C62" i="15"/>
  <c r="F61" i="15"/>
  <c r="F57" i="15"/>
  <c r="E18" i="15"/>
  <c r="E24" i="15"/>
  <c r="E25" i="15" s="1"/>
  <c r="F18" i="15"/>
  <c r="F24" i="15"/>
  <c r="F25" i="15" s="1"/>
  <c r="D18" i="15"/>
  <c r="D24" i="15"/>
  <c r="D25" i="15" s="1"/>
  <c r="T24" i="15" l="1"/>
  <c r="T25" i="15" s="1"/>
  <c r="F67" i="15"/>
  <c r="F62" i="15"/>
  <c r="E67" i="15"/>
  <c r="E62" i="15"/>
  <c r="D67" i="15"/>
  <c r="D62" i="15"/>
  <c r="K5" i="15" l="1"/>
  <c r="J5" i="15"/>
  <c r="J8" i="15" s="1"/>
  <c r="I5" i="15"/>
  <c r="I8" i="15" s="1"/>
  <c r="H5" i="15"/>
  <c r="H8" i="15" s="1"/>
  <c r="G5" i="15"/>
  <c r="K8" i="15" l="1"/>
  <c r="L5" i="15"/>
  <c r="L8" i="15" s="1"/>
  <c r="N5" i="15"/>
  <c r="N8" i="15" s="1"/>
  <c r="V5" i="15"/>
  <c r="V8" i="15" s="1"/>
  <c r="G8" i="15"/>
  <c r="H52" i="15"/>
  <c r="I52" i="15"/>
  <c r="M5" i="15"/>
  <c r="M8" i="15" s="1"/>
  <c r="J52" i="15"/>
  <c r="N10" i="15"/>
  <c r="N54" i="15" s="1"/>
  <c r="K10" i="15"/>
  <c r="L10" i="15"/>
  <c r="L54" i="15" s="1"/>
  <c r="M20" i="15"/>
  <c r="M10" i="15"/>
  <c r="M54" i="15" s="1"/>
  <c r="K15" i="15" l="1"/>
  <c r="G10" i="15"/>
  <c r="G12" i="15" s="1"/>
  <c r="X5" i="15"/>
  <c r="X8" i="15" s="1"/>
  <c r="AN8" i="15" s="1"/>
  <c r="AL8" i="15"/>
  <c r="M52" i="15"/>
  <c r="M12" i="15"/>
  <c r="N52" i="15"/>
  <c r="N12" i="15"/>
  <c r="L12" i="15"/>
  <c r="L52" i="15"/>
  <c r="K52" i="15"/>
  <c r="K12" i="15"/>
  <c r="G52" i="15"/>
  <c r="K54" i="15"/>
  <c r="X10" i="15"/>
  <c r="AN10" i="15" s="1"/>
  <c r="H10" i="15"/>
  <c r="I10" i="15"/>
  <c r="I15" i="15"/>
  <c r="I59" i="15" s="1"/>
  <c r="J10" i="15"/>
  <c r="G15" i="15"/>
  <c r="M15" i="15"/>
  <c r="M59" i="15" s="1"/>
  <c r="M22" i="15"/>
  <c r="M65" i="15" s="1"/>
  <c r="N15" i="15"/>
  <c r="N59" i="15" s="1"/>
  <c r="G20" i="15"/>
  <c r="J15" i="15"/>
  <c r="J59" i="15" s="1"/>
  <c r="J20" i="15"/>
  <c r="N20" i="15"/>
  <c r="H20" i="15"/>
  <c r="H15" i="15"/>
  <c r="H59" i="15" s="1"/>
  <c r="L20" i="15"/>
  <c r="L15" i="15"/>
  <c r="L59" i="15" s="1"/>
  <c r="G54" i="15" l="1"/>
  <c r="K20" i="15"/>
  <c r="X20" i="15" s="1"/>
  <c r="M21" i="15"/>
  <c r="M64" i="15" s="1"/>
  <c r="AN12" i="15"/>
  <c r="AN13" i="15" s="1"/>
  <c r="V10" i="15"/>
  <c r="AL10" i="15" s="1"/>
  <c r="AL12" i="15" s="1"/>
  <c r="AL13" i="15" s="1"/>
  <c r="X12" i="15"/>
  <c r="X13" i="15" s="1"/>
  <c r="G59" i="15"/>
  <c r="V15" i="15"/>
  <c r="AL15" i="15" s="1"/>
  <c r="G56" i="15"/>
  <c r="G17" i="15"/>
  <c r="G13" i="15"/>
  <c r="J54" i="15"/>
  <c r="J12" i="15"/>
  <c r="G22" i="15"/>
  <c r="G21" i="15"/>
  <c r="I54" i="15"/>
  <c r="I12" i="15"/>
  <c r="K56" i="15"/>
  <c r="K17" i="15"/>
  <c r="K13" i="15"/>
  <c r="M17" i="15"/>
  <c r="M56" i="15"/>
  <c r="M13" i="15"/>
  <c r="H54" i="15"/>
  <c r="H12" i="15"/>
  <c r="H22" i="15"/>
  <c r="H65" i="15" s="1"/>
  <c r="H21" i="15"/>
  <c r="H64" i="15" s="1"/>
  <c r="N56" i="15"/>
  <c r="N17" i="15"/>
  <c r="N13" i="15"/>
  <c r="J22" i="15"/>
  <c r="J65" i="15" s="1"/>
  <c r="J21" i="15"/>
  <c r="J64" i="15" s="1"/>
  <c r="L22" i="15"/>
  <c r="L65" i="15" s="1"/>
  <c r="L21" i="15"/>
  <c r="L64" i="15" s="1"/>
  <c r="N22" i="15"/>
  <c r="N65" i="15" s="1"/>
  <c r="K59" i="15"/>
  <c r="X15" i="15"/>
  <c r="AN15" i="15" s="1"/>
  <c r="L56" i="15"/>
  <c r="L17" i="15"/>
  <c r="L13" i="15"/>
  <c r="I20" i="15"/>
  <c r="V20" i="15" s="1"/>
  <c r="AN17" i="15" l="1"/>
  <c r="AN18" i="15" s="1"/>
  <c r="V12" i="15"/>
  <c r="V17" i="15" s="1"/>
  <c r="X17" i="15"/>
  <c r="X18" i="15" s="1"/>
  <c r="K22" i="15"/>
  <c r="K65" i="15" s="1"/>
  <c r="K21" i="15"/>
  <c r="K64" i="15" s="1"/>
  <c r="N21" i="15"/>
  <c r="N64" i="15" s="1"/>
  <c r="AL17" i="15"/>
  <c r="AL18" i="15" s="1"/>
  <c r="M61" i="15"/>
  <c r="M57" i="15"/>
  <c r="G65" i="15"/>
  <c r="N18" i="15"/>
  <c r="H56" i="15"/>
  <c r="H13" i="15"/>
  <c r="H17" i="15"/>
  <c r="K18" i="15"/>
  <c r="N57" i="15"/>
  <c r="N61" i="15"/>
  <c r="K57" i="15"/>
  <c r="K61" i="15"/>
  <c r="G24" i="15"/>
  <c r="G25" i="15" s="1"/>
  <c r="G18" i="15"/>
  <c r="I56" i="15"/>
  <c r="I13" i="15"/>
  <c r="I17" i="15"/>
  <c r="G61" i="15"/>
  <c r="G57" i="15"/>
  <c r="J56" i="15"/>
  <c r="J17" i="15"/>
  <c r="J13" i="15"/>
  <c r="M24" i="15"/>
  <c r="M25" i="15" s="1"/>
  <c r="M18" i="15"/>
  <c r="I22" i="15"/>
  <c r="I65" i="15" s="1"/>
  <c r="L18" i="15"/>
  <c r="L24" i="15"/>
  <c r="L25" i="15" s="1"/>
  <c r="L57" i="15"/>
  <c r="L61" i="15"/>
  <c r="G64" i="15"/>
  <c r="V13" i="15" l="1"/>
  <c r="N24" i="15"/>
  <c r="N25" i="15" s="1"/>
  <c r="X22" i="15"/>
  <c r="K24" i="15"/>
  <c r="K25" i="15" s="1"/>
  <c r="I21" i="15"/>
  <c r="I64" i="15" s="1"/>
  <c r="X21" i="15"/>
  <c r="V22" i="15"/>
  <c r="I18" i="15"/>
  <c r="I61" i="15"/>
  <c r="I57" i="15"/>
  <c r="J24" i="15"/>
  <c r="J25" i="15" s="1"/>
  <c r="J18" i="15"/>
  <c r="L67" i="15"/>
  <c r="L62" i="15"/>
  <c r="J61" i="15"/>
  <c r="J57" i="15"/>
  <c r="H24" i="15"/>
  <c r="H25" i="15" s="1"/>
  <c r="H18" i="15"/>
  <c r="M67" i="15"/>
  <c r="M62" i="15"/>
  <c r="N67" i="15"/>
  <c r="N62" i="15"/>
  <c r="V18" i="15"/>
  <c r="G67" i="15"/>
  <c r="G62" i="15"/>
  <c r="K67" i="15"/>
  <c r="K62" i="15"/>
  <c r="H57" i="15"/>
  <c r="H61" i="15"/>
  <c r="X24" i="15" l="1"/>
  <c r="X25" i="15" s="1"/>
  <c r="V21" i="15"/>
  <c r="V24" i="15" s="1"/>
  <c r="V25" i="15" s="1"/>
  <c r="AN20" i="15"/>
  <c r="AN24" i="15" s="1"/>
  <c r="AN25" i="15" s="1"/>
  <c r="I24" i="15"/>
  <c r="I25" i="15" s="1"/>
  <c r="I67" i="15"/>
  <c r="I62" i="15"/>
  <c r="H67" i="15"/>
  <c r="H62" i="15"/>
  <c r="J67" i="15"/>
  <c r="J62" i="15"/>
  <c r="AL20" i="15" l="1"/>
  <c r="AL24" i="15" s="1"/>
  <c r="AL2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 Eirik Knutsen</author>
    <author>Bjorn Kleven</author>
  </authors>
  <commentList>
    <comment ref="I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Includes NPRA settlement of 27,823 MNOK. See Q3-17 report for further explanation</t>
        </r>
      </text>
    </comment>
    <comment ref="N1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Bjorn Kleven:</t>
        </r>
        <r>
          <rPr>
            <sz val="9"/>
            <color indexed="81"/>
            <rFont val="Tahoma"/>
            <family val="2"/>
          </rPr>
          <t xml:space="preserve">
Includes 13.46 MNOK Jakarta close down costs, See explanation Q4-18 report.</t>
        </r>
      </text>
    </comment>
    <comment ref="X1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Bjorn Kleven:</t>
        </r>
        <r>
          <rPr>
            <sz val="9"/>
            <color indexed="81"/>
            <rFont val="Tahoma"/>
            <family val="2"/>
          </rPr>
          <t xml:space="preserve">
Includes 13.46 MNOK Jakarta close down costs, See explanation Q4-18 report.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 Eirik Knutsen</author>
  </authors>
  <commentList>
    <comment ref="I12" authorId="0" shapeId="0" xr:uid="{820D63B6-8405-4F07-A807-16CF3073F198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Includes 9 MNOK in positive opex effect due to reduced pension obligations Norway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 Eirik Knutsen</author>
    <author>Elisabeth Strypet</author>
  </authors>
  <commentList>
    <comment ref="E7" authorId="0" shapeId="0" xr:uid="{B37C2733-BA97-4959-A97C-6D41223389CA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Includes 9 MNOK in positive opex effect due to reduced pension obligations Norway</t>
        </r>
      </text>
    </comment>
    <comment ref="C15" authorId="1" shapeId="0" xr:uid="{00000000-0006-0000-0900-000005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4,99 in depreciation Right-of-Use assets (IFRS 16)</t>
        </r>
      </text>
    </comment>
    <comment ref="D15" authorId="1" shapeId="0" xr:uid="{00000000-0006-0000-0900-000006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5,23 in depreciation Right-of-Use assets (IFRS 16)</t>
        </r>
      </text>
    </comment>
    <comment ref="E15" authorId="1" shapeId="0" xr:uid="{00000000-0006-0000-0900-000007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5,18 in depreciation Right-of-Use assets (IFRS 16)</t>
        </r>
      </text>
    </comment>
    <comment ref="C21" authorId="1" shapeId="0" xr:uid="{00000000-0006-0000-0900-000008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0,73 in IFRS 16 Lease liability expense.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Strypet</author>
    <author>Tor Eirik Knutsen</author>
  </authors>
  <commentList>
    <comment ref="C9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IFRS 16 Right-of-use Assets MNOK 60.</t>
        </r>
      </text>
    </comment>
    <comment ref="D9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IFRS 16 Right-of-use Assets MNOK 55.
</t>
        </r>
      </text>
    </comment>
    <comment ref="E9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IFRS 16 Right-of-use Assets MNOK 52.
</t>
        </r>
      </text>
    </comment>
    <comment ref="R50" authorId="1" shapeId="0" xr:uid="{CB1FC709-C7B0-40EA-AAA1-5DCC5C8C205C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Intelight Inc</t>
        </r>
      </text>
    </comment>
  </commentList>
</comments>
</file>

<file path=xl/sharedStrings.xml><?xml version="1.0" encoding="utf-8"?>
<sst xmlns="http://schemas.openxmlformats.org/spreadsheetml/2006/main" count="505" uniqueCount="155">
  <si>
    <t>TOLLING</t>
  </si>
  <si>
    <t>(TNOK)</t>
  </si>
  <si>
    <t>Q1</t>
  </si>
  <si>
    <t>Q2</t>
  </si>
  <si>
    <t>Q3</t>
  </si>
  <si>
    <t>Q4</t>
  </si>
  <si>
    <t>EUROPE</t>
  </si>
  <si>
    <t>APMEA</t>
  </si>
  <si>
    <t>AMERICAS</t>
  </si>
  <si>
    <t>Revenues</t>
  </si>
  <si>
    <t>Cost of goods sold</t>
  </si>
  <si>
    <t>Contractors</t>
  </si>
  <si>
    <t>Gross contribution</t>
  </si>
  <si>
    <t>Gross margin - %</t>
  </si>
  <si>
    <t xml:space="preserve">Operating expenses </t>
  </si>
  <si>
    <t>EBITDA</t>
  </si>
  <si>
    <t>EBITDA margin</t>
  </si>
  <si>
    <t>Depreciation</t>
  </si>
  <si>
    <t>Amortization of intangible assets</t>
  </si>
  <si>
    <t>Impairment</t>
  </si>
  <si>
    <t>EBIT</t>
  </si>
  <si>
    <t>EBIT margin</t>
  </si>
  <si>
    <t>Please note - As a result of rounding differences, numbers or percentages may not add up to the total.</t>
  </si>
  <si>
    <t>Q-Free Group</t>
  </si>
  <si>
    <t>CONSOLIDATED INCOME STATEMENT</t>
  </si>
  <si>
    <t xml:space="preserve">Cost of goods sold </t>
  </si>
  <si>
    <t>Other operating expenses</t>
  </si>
  <si>
    <t xml:space="preserve">Total operating expenses </t>
  </si>
  <si>
    <t>Depreciation and amortisation</t>
  </si>
  <si>
    <t>Financial income</t>
  </si>
  <si>
    <t>Financial expenses</t>
  </si>
  <si>
    <t>Net financial items</t>
  </si>
  <si>
    <t>Profit before tax</t>
  </si>
  <si>
    <t>Tax expenses</t>
  </si>
  <si>
    <t>Profit after tax from continuing operations</t>
  </si>
  <si>
    <t>Profit after tax on discontinued operations</t>
  </si>
  <si>
    <t>EPS (NOK)</t>
  </si>
  <si>
    <t>EPS, diluted (NOK)</t>
  </si>
  <si>
    <t xml:space="preserve"> EBITDA</t>
  </si>
  <si>
    <t xml:space="preserve"> EBIT</t>
  </si>
  <si>
    <t>Gross margin</t>
  </si>
  <si>
    <t>Average number of shares</t>
  </si>
  <si>
    <t>Average number of shares diluted</t>
  </si>
  <si>
    <t xml:space="preserve">Goodwill </t>
  </si>
  <si>
    <t xml:space="preserve">Deferred tax assets </t>
  </si>
  <si>
    <t xml:space="preserve">Total non - current assets </t>
  </si>
  <si>
    <t>Inventories</t>
  </si>
  <si>
    <t>Contract assets</t>
  </si>
  <si>
    <t>Total current assets</t>
  </si>
  <si>
    <t>Assets held for sale</t>
  </si>
  <si>
    <t>Cash and cash equivalents</t>
  </si>
  <si>
    <t>Total assets</t>
  </si>
  <si>
    <t>31 Mar</t>
  </si>
  <si>
    <t>30 Jun</t>
  </si>
  <si>
    <t>30 Sep</t>
  </si>
  <si>
    <t>31 Dec</t>
  </si>
  <si>
    <t>Subscribed share capital</t>
  </si>
  <si>
    <t>Total equity</t>
  </si>
  <si>
    <t>Pension liabilities</t>
  </si>
  <si>
    <t>Total non-current liabilities</t>
  </si>
  <si>
    <t>Accounts payable</t>
  </si>
  <si>
    <t>Public duties payable</t>
  </si>
  <si>
    <t>Total current liabilities</t>
  </si>
  <si>
    <t>Liabilities held for sale</t>
  </si>
  <si>
    <t>Total equity and liabilities</t>
  </si>
  <si>
    <t>Equity ratio</t>
  </si>
  <si>
    <t>Net interest bearing debt</t>
  </si>
  <si>
    <t>CASH FLOW</t>
  </si>
  <si>
    <t>Paid taxes</t>
  </si>
  <si>
    <t>Working capital adjustments:</t>
  </si>
  <si>
    <t>Changes in inventory</t>
  </si>
  <si>
    <t>Changes in contract assets</t>
  </si>
  <si>
    <t>Net cash flow from operations</t>
  </si>
  <si>
    <t>Investments in intangible assets</t>
  </si>
  <si>
    <t>Net cash flow from investments</t>
  </si>
  <si>
    <t>Transferred to Assets held for sale</t>
  </si>
  <si>
    <t xml:space="preserve">Amortisation and impairment of intangibles </t>
  </si>
  <si>
    <t>BALANCE SHEET</t>
  </si>
  <si>
    <t>FINANCIAL ITEMS</t>
  </si>
  <si>
    <t>Realised agio / disagio</t>
  </si>
  <si>
    <t>Unrealised agio / disagio</t>
  </si>
  <si>
    <t>Change in other liabilities *</t>
  </si>
  <si>
    <t>Other financial income</t>
  </si>
  <si>
    <t>Other financial expenses</t>
  </si>
  <si>
    <t>Total financial items</t>
  </si>
  <si>
    <t>Share purchase liability (part of Other short term debt)</t>
  </si>
  <si>
    <t>Net working capital excl debt to financial institutions and share purchase liability</t>
  </si>
  <si>
    <t>Reported Q's</t>
  </si>
  <si>
    <t>Total SEGMENTS</t>
  </si>
  <si>
    <t>Avvik</t>
  </si>
  <si>
    <t>Totals FY</t>
  </si>
  <si>
    <t>Depr. &amp; Amort.</t>
  </si>
  <si>
    <t>Depr &amp; amort</t>
  </si>
  <si>
    <t>Intangible assets</t>
  </si>
  <si>
    <t>Property, plant and equipment</t>
  </si>
  <si>
    <t>Non-current receivables</t>
  </si>
  <si>
    <t>Accounts receivable</t>
  </si>
  <si>
    <t>Other current assets</t>
  </si>
  <si>
    <t>Share premium</t>
  </si>
  <si>
    <t>Other paid-in capital</t>
  </si>
  <si>
    <t>Retained earnings</t>
  </si>
  <si>
    <t>Non-current borrowings</t>
  </si>
  <si>
    <t>Non-current financial liabilities</t>
  </si>
  <si>
    <t>Deferred tax liabilities</t>
  </si>
  <si>
    <t>Current borrowings</t>
  </si>
  <si>
    <t>Advance payments from customers</t>
  </si>
  <si>
    <t>Taxes payable</t>
  </si>
  <si>
    <t>Current financial liabilities</t>
  </si>
  <si>
    <t>Other current liabilities</t>
  </si>
  <si>
    <t>Total operating revenue</t>
  </si>
  <si>
    <t>Project contractor expenses</t>
  </si>
  <si>
    <t>Employee benefit expenses</t>
  </si>
  <si>
    <t>Profit / (-) loss for the period</t>
  </si>
  <si>
    <t>Project contracor expenses</t>
  </si>
  <si>
    <t>Accrued interest expense</t>
  </si>
  <si>
    <t>Share-based payment expense</t>
  </si>
  <si>
    <t>Changes in accounts receivable</t>
  </si>
  <si>
    <t>Changes in advance payments from customers</t>
  </si>
  <si>
    <t>Depreciation and impairment of property, plant and equipment</t>
  </si>
  <si>
    <t>Changes in accounts payable</t>
  </si>
  <si>
    <t>Changes in other items</t>
  </si>
  <si>
    <t>Cash proceeds from borrowings</t>
  </si>
  <si>
    <t>Repayment of borrowings</t>
  </si>
  <si>
    <t>Net cash flow from financing activities</t>
  </si>
  <si>
    <t>Effect on cash and cash equivalents of changes in foreign exchange rates</t>
  </si>
  <si>
    <t>Net change in cash and cash equivalents for the period</t>
  </si>
  <si>
    <t>Cash and cash equivalents beginning of period</t>
  </si>
  <si>
    <t>CASH AND CASH EQUIVALENTS END OF PERIOD</t>
  </si>
  <si>
    <t>DEPRECIATION, AMORTISATION AND IMPAIRMENT</t>
  </si>
  <si>
    <t>Amortisation of capitalised development cost</t>
  </si>
  <si>
    <t>Amortisation of capitalised acquired development cost</t>
  </si>
  <si>
    <t>Impairment of development cost and Goodwill</t>
  </si>
  <si>
    <t>Depreciation of other fixed assets</t>
  </si>
  <si>
    <t>Depreciation of PP&amp;E - IFRS 16</t>
  </si>
  <si>
    <t>Impairment of other fixed assets</t>
  </si>
  <si>
    <t>Total depreciation, amortisation and impairment</t>
  </si>
  <si>
    <t>TRAFFIC MANAGEMENT</t>
  </si>
  <si>
    <t>ASSETS HELD FOR SALE</t>
  </si>
  <si>
    <t>GLOBAL FUNCTIONS</t>
  </si>
  <si>
    <t xml:space="preserve">
Please note - As a result of rounding differences, numbers or percentages may not add up to the total. Difference between total segment numbers and the consolidated income statement explained by Global Functions.</t>
  </si>
  <si>
    <t>Equity share of convertible bond</t>
  </si>
  <si>
    <t>Acqusition of a subsidiary, net of cash acquired</t>
  </si>
  <si>
    <t>Gain / loss on disposal of subsidiaries</t>
  </si>
  <si>
    <t>Payments of lease liabilities</t>
  </si>
  <si>
    <t>Net interest paid</t>
  </si>
  <si>
    <t>Convertible bond</t>
  </si>
  <si>
    <t>Gain on disposal of assets</t>
  </si>
  <si>
    <t>Gain on disposal of asssets</t>
  </si>
  <si>
    <t>Gain on disposal of assests</t>
  </si>
  <si>
    <t>Annual recurring revenue</t>
  </si>
  <si>
    <t>Service &amp; Maintenance, contracting arrangements</t>
  </si>
  <si>
    <t>Software</t>
  </si>
  <si>
    <t>Recurring revenue - reported</t>
  </si>
  <si>
    <t>Non-recurring revenue - reported</t>
  </si>
  <si>
    <t>Total revenues -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</si>
</sst>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  <numFmt numFmtId="167" formatCode="#,##0.0"/>
    <numFmt numFmtId="168" formatCode="_-* #,##0_-;\-* #,##0_-;_-* &quot;-&quot;??_-;_-@_-"/>
    <numFmt numFmtId="169" formatCode="0.0"/>
    <numFmt numFmtId="170" formatCode="#,##0_ ;[Red]\-#,##0\ "/>
    <numFmt numFmtId="171" formatCode="0.0\ %"/>
    <numFmt numFmtId="172" formatCode="#,##0_ ;\-#,##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Palatino"/>
      <family val="1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  <font>
      <b/>
      <sz val="7"/>
      <color theme="1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8C4DBB"/>
        <bgColor indexed="64"/>
      </patternFill>
    </fill>
    <fill>
      <patternFill patternType="solid">
        <fgColor rgb="FFCBAE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theme="0"/>
      </right>
      <top style="medium">
        <color indexed="9"/>
      </top>
      <bottom style="medium">
        <color indexed="9"/>
      </bottom>
      <diagonal/>
    </border>
    <border>
      <left style="medium">
        <color theme="0"/>
      </left>
      <right style="medium">
        <color indexed="9"/>
      </right>
      <top/>
      <bottom style="medium">
        <color theme="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theme="0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theme="0"/>
      </bottom>
      <diagonal/>
    </border>
    <border>
      <left style="medium">
        <color indexed="9"/>
      </left>
      <right style="medium">
        <color theme="0"/>
      </right>
      <top style="medium">
        <color indexed="9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n">
        <color indexed="64"/>
      </right>
      <top style="medium">
        <color indexed="9"/>
      </top>
      <bottom/>
      <diagonal/>
    </border>
    <border>
      <left style="medium">
        <color indexed="9"/>
      </left>
      <right style="medium">
        <color theme="0"/>
      </right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n">
        <color indexed="64"/>
      </right>
      <top/>
      <bottom style="medium">
        <color theme="0"/>
      </bottom>
      <diagonal/>
    </border>
    <border>
      <left style="medium">
        <color indexed="9"/>
      </left>
      <right style="medium">
        <color theme="0"/>
      </right>
      <top/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Alignment="0" applyProtection="0"/>
    <xf numFmtId="0" fontId="5" fillId="0" borderId="0"/>
    <xf numFmtId="164" fontId="5" fillId="0" borderId="0" applyFont="0" applyFill="0" applyBorder="0" applyAlignment="0" applyProtection="0"/>
    <xf numFmtId="167" fontId="7" fillId="0" borderId="0" applyFill="0" applyBorder="0" applyProtection="0">
      <alignment horizontal="right" vertical="center" wrapText="1" indent="1"/>
    </xf>
    <xf numFmtId="169" fontId="7" fillId="0" borderId="0" applyProtection="0">
      <alignment vertical="center" wrapText="1"/>
    </xf>
    <xf numFmtId="169" fontId="13" fillId="11" borderId="25" applyNumberFormat="0" applyFill="0" applyAlignment="0" applyProtection="0">
      <alignment vertical="center" wrapText="1"/>
    </xf>
    <xf numFmtId="165" fontId="1" fillId="0" borderId="0" applyFont="0" applyFill="0" applyBorder="0" applyAlignment="0" applyProtection="0"/>
    <xf numFmtId="0" fontId="18" fillId="0" borderId="0"/>
    <xf numFmtId="0" fontId="1" fillId="0" borderId="0"/>
  </cellStyleXfs>
  <cellXfs count="416">
    <xf numFmtId="0" fontId="0" fillId="0" borderId="0" xfId="0"/>
    <xf numFmtId="0" fontId="3" fillId="2" borderId="1" xfId="3" applyFont="1" applyFill="1" applyBorder="1" applyAlignment="1"/>
    <xf numFmtId="166" fontId="4" fillId="4" borderId="13" xfId="3" applyNumberFormat="1" applyFont="1" applyFill="1" applyBorder="1" applyAlignment="1">
      <alignment horizontal="right"/>
    </xf>
    <xf numFmtId="166" fontId="4" fillId="4" borderId="0" xfId="3" applyNumberFormat="1" applyFont="1" applyFill="1" applyAlignment="1">
      <alignment horizontal="right"/>
    </xf>
    <xf numFmtId="166" fontId="4" fillId="4" borderId="0" xfId="1" quotePrefix="1" applyNumberFormat="1" applyFont="1" applyFill="1" applyBorder="1" applyAlignment="1">
      <alignment horizontal="right"/>
    </xf>
    <xf numFmtId="0" fontId="5" fillId="7" borderId="9" xfId="3" quotePrefix="1" applyFont="1" applyFill="1" applyBorder="1" applyAlignment="1"/>
    <xf numFmtId="0" fontId="6" fillId="7" borderId="16" xfId="3" quotePrefix="1" applyFont="1" applyFill="1" applyBorder="1" applyAlignment="1"/>
    <xf numFmtId="0" fontId="4" fillId="7" borderId="0" xfId="3" quotePrefix="1" applyFont="1" applyFill="1"/>
    <xf numFmtId="0" fontId="4" fillId="7" borderId="2" xfId="3" applyFont="1" applyFill="1" applyBorder="1" applyAlignment="1"/>
    <xf numFmtId="0" fontId="4" fillId="7" borderId="3" xfId="3" applyFont="1" applyFill="1" applyBorder="1" applyAlignment="1"/>
    <xf numFmtId="0" fontId="5" fillId="7" borderId="0" xfId="4" applyFill="1"/>
    <xf numFmtId="166" fontId="4" fillId="4" borderId="14" xfId="1" applyNumberFormat="1" applyFont="1" applyFill="1" applyBorder="1" applyAlignment="1">
      <alignment horizontal="right"/>
    </xf>
    <xf numFmtId="3" fontId="0" fillId="0" borderId="0" xfId="0" applyNumberFormat="1"/>
    <xf numFmtId="0" fontId="0" fillId="10" borderId="0" xfId="0" applyFill="1"/>
    <xf numFmtId="0" fontId="5" fillId="10" borderId="0" xfId="4" applyFill="1"/>
    <xf numFmtId="0" fontId="6" fillId="10" borderId="22" xfId="3" quotePrefix="1" applyFont="1" applyFill="1" applyBorder="1" applyAlignment="1"/>
    <xf numFmtId="166" fontId="6" fillId="10" borderId="22" xfId="3" applyNumberFormat="1" applyFont="1" applyFill="1" applyBorder="1" applyAlignment="1">
      <alignment horizontal="right"/>
    </xf>
    <xf numFmtId="166" fontId="4" fillId="7" borderId="16" xfId="5" applyNumberFormat="1" applyFont="1" applyFill="1" applyBorder="1"/>
    <xf numFmtId="0" fontId="5" fillId="10" borderId="16" xfId="4" applyFill="1" applyBorder="1"/>
    <xf numFmtId="3" fontId="6" fillId="4" borderId="13" xfId="3" applyNumberFormat="1" applyFont="1" applyFill="1" applyBorder="1" applyAlignment="1">
      <alignment horizontal="right"/>
    </xf>
    <xf numFmtId="3" fontId="6" fillId="4" borderId="0" xfId="3" applyNumberFormat="1" applyFont="1" applyFill="1" applyAlignment="1">
      <alignment horizontal="right"/>
    </xf>
    <xf numFmtId="166" fontId="5" fillId="9" borderId="13" xfId="3" applyNumberFormat="1" applyFont="1" applyFill="1" applyBorder="1" applyAlignment="1">
      <alignment horizontal="right"/>
    </xf>
    <xf numFmtId="166" fontId="5" fillId="4" borderId="0" xfId="3" applyNumberFormat="1" applyFont="1" applyFill="1" applyAlignment="1">
      <alignment horizontal="right"/>
    </xf>
    <xf numFmtId="166" fontId="5" fillId="4" borderId="13" xfId="3" applyNumberFormat="1" applyFont="1" applyFill="1" applyBorder="1" applyAlignment="1">
      <alignment horizontal="right"/>
    </xf>
    <xf numFmtId="166" fontId="5" fillId="6" borderId="0" xfId="3" applyNumberFormat="1" applyFont="1" applyFill="1" applyAlignment="1">
      <alignment horizontal="right"/>
    </xf>
    <xf numFmtId="166" fontId="5" fillId="6" borderId="13" xfId="3" applyNumberFormat="1" applyFont="1" applyFill="1" applyBorder="1" applyAlignment="1">
      <alignment horizontal="right"/>
    </xf>
    <xf numFmtId="168" fontId="9" fillId="4" borderId="17" xfId="1" applyNumberFormat="1" applyFont="1" applyFill="1" applyBorder="1" applyAlignment="1">
      <alignment horizontal="right"/>
    </xf>
    <xf numFmtId="0" fontId="5" fillId="7" borderId="0" xfId="3" quotePrefix="1" applyFont="1" applyFill="1"/>
    <xf numFmtId="9" fontId="5" fillId="9" borderId="13" xfId="2" applyFont="1" applyFill="1" applyBorder="1" applyAlignment="1">
      <alignment horizontal="right"/>
    </xf>
    <xf numFmtId="9" fontId="5" fillId="4" borderId="0" xfId="2" applyFont="1" applyFill="1" applyBorder="1" applyAlignment="1">
      <alignment horizontal="right"/>
    </xf>
    <xf numFmtId="9" fontId="5" fillId="4" borderId="13" xfId="2" applyFont="1" applyFill="1" applyBorder="1" applyAlignment="1">
      <alignment horizontal="right"/>
    </xf>
    <xf numFmtId="9" fontId="5" fillId="6" borderId="0" xfId="2" applyFont="1" applyFill="1" applyBorder="1" applyAlignment="1">
      <alignment horizontal="right"/>
    </xf>
    <xf numFmtId="9" fontId="5" fillId="6" borderId="13" xfId="2" applyFont="1" applyFill="1" applyBorder="1" applyAlignment="1">
      <alignment horizontal="right"/>
    </xf>
    <xf numFmtId="0" fontId="5" fillId="7" borderId="16" xfId="3" quotePrefix="1" applyFont="1" applyFill="1" applyBorder="1"/>
    <xf numFmtId="4" fontId="5" fillId="4" borderId="13" xfId="3" applyNumberFormat="1" applyFont="1" applyFill="1" applyBorder="1" applyAlignment="1">
      <alignment horizontal="right"/>
    </xf>
    <xf numFmtId="0" fontId="4" fillId="7" borderId="20" xfId="3" quotePrefix="1" applyFont="1" applyFill="1" applyBorder="1"/>
    <xf numFmtId="166" fontId="4" fillId="4" borderId="21" xfId="1" applyNumberFormat="1" applyFont="1" applyFill="1" applyBorder="1" applyAlignment="1">
      <alignment horizontal="right"/>
    </xf>
    <xf numFmtId="0" fontId="10" fillId="7" borderId="9" xfId="3" quotePrefix="1" applyFont="1" applyFill="1" applyBorder="1" applyAlignment="1"/>
    <xf numFmtId="0" fontId="11" fillId="3" borderId="10" xfId="3" applyFont="1" applyFill="1" applyBorder="1" applyAlignment="1">
      <alignment horizontal="center"/>
    </xf>
    <xf numFmtId="0" fontId="11" fillId="3" borderId="11" xfId="3" applyFont="1" applyFill="1" applyBorder="1" applyAlignment="1">
      <alignment horizontal="center"/>
    </xf>
    <xf numFmtId="0" fontId="11" fillId="5" borderId="10" xfId="3" applyFont="1" applyFill="1" applyBorder="1" applyAlignment="1">
      <alignment horizontal="center"/>
    </xf>
    <xf numFmtId="0" fontId="11" fillId="5" borderId="12" xfId="3" applyFont="1" applyFill="1" applyBorder="1" applyAlignment="1">
      <alignment horizontal="center"/>
    </xf>
    <xf numFmtId="0" fontId="10" fillId="7" borderId="13" xfId="3" quotePrefix="1" applyFont="1" applyFill="1" applyBorder="1" applyAlignment="1"/>
    <xf numFmtId="3" fontId="10" fillId="9" borderId="13" xfId="3" applyNumberFormat="1" applyFont="1" applyFill="1" applyBorder="1" applyAlignment="1">
      <alignment horizontal="right"/>
    </xf>
    <xf numFmtId="3" fontId="10" fillId="4" borderId="13" xfId="3" applyNumberFormat="1" applyFont="1" applyFill="1" applyBorder="1" applyAlignment="1">
      <alignment horizontal="right"/>
    </xf>
    <xf numFmtId="3" fontId="10" fillId="6" borderId="13" xfId="3" applyNumberFormat="1" applyFont="1" applyFill="1" applyBorder="1" applyAlignment="1">
      <alignment horizontal="right"/>
    </xf>
    <xf numFmtId="0" fontId="5" fillId="7" borderId="13" xfId="3" quotePrefix="1" applyFont="1" applyFill="1" applyBorder="1" applyAlignment="1"/>
    <xf numFmtId="3" fontId="5" fillId="9" borderId="13" xfId="3" applyNumberFormat="1" applyFont="1" applyFill="1" applyBorder="1" applyAlignment="1">
      <alignment horizontal="right"/>
    </xf>
    <xf numFmtId="3" fontId="5" fillId="4" borderId="13" xfId="3" applyNumberFormat="1" applyFont="1" applyFill="1" applyBorder="1" applyAlignment="1">
      <alignment horizontal="right"/>
    </xf>
    <xf numFmtId="3" fontId="5" fillId="6" borderId="13" xfId="3" applyNumberFormat="1" applyFont="1" applyFill="1" applyBorder="1" applyAlignment="1">
      <alignment horizontal="right"/>
    </xf>
    <xf numFmtId="0" fontId="5" fillId="7" borderId="14" xfId="3" quotePrefix="1" applyFont="1" applyFill="1" applyBorder="1" applyAlignment="1"/>
    <xf numFmtId="3" fontId="5" fillId="9" borderId="14" xfId="3" applyNumberFormat="1" applyFont="1" applyFill="1" applyBorder="1" applyAlignment="1">
      <alignment horizontal="right"/>
    </xf>
    <xf numFmtId="3" fontId="5" fillId="4" borderId="14" xfId="3" applyNumberFormat="1" applyFont="1" applyFill="1" applyBorder="1" applyAlignment="1">
      <alignment horizontal="right"/>
    </xf>
    <xf numFmtId="3" fontId="5" fillId="6" borderId="14" xfId="3" applyNumberFormat="1" applyFont="1" applyFill="1" applyBorder="1" applyAlignment="1">
      <alignment horizontal="right"/>
    </xf>
    <xf numFmtId="0" fontId="10" fillId="7" borderId="15" xfId="3" quotePrefix="1" applyFont="1" applyFill="1" applyBorder="1" applyAlignment="1"/>
    <xf numFmtId="3" fontId="10" fillId="9" borderId="15" xfId="3" applyNumberFormat="1" applyFont="1" applyFill="1" applyBorder="1" applyAlignment="1">
      <alignment horizontal="right"/>
    </xf>
    <xf numFmtId="3" fontId="10" fillId="4" borderId="15" xfId="3" applyNumberFormat="1" applyFont="1" applyFill="1" applyBorder="1" applyAlignment="1">
      <alignment horizontal="right"/>
    </xf>
    <xf numFmtId="3" fontId="10" fillId="6" borderId="15" xfId="3" applyNumberFormat="1" applyFont="1" applyFill="1" applyBorder="1" applyAlignment="1">
      <alignment horizontal="right"/>
    </xf>
    <xf numFmtId="0" fontId="5" fillId="7" borderId="17" xfId="3" quotePrefix="1" applyFont="1" applyFill="1" applyBorder="1" applyAlignment="1"/>
    <xf numFmtId="0" fontId="12" fillId="0" borderId="0" xfId="0" applyFont="1"/>
    <xf numFmtId="0" fontId="10" fillId="7" borderId="24" xfId="3" quotePrefix="1" applyFont="1" applyFill="1" applyBorder="1" applyAlignment="1"/>
    <xf numFmtId="3" fontId="10" fillId="4" borderId="24" xfId="3" applyNumberFormat="1" applyFont="1" applyFill="1" applyBorder="1" applyAlignment="1">
      <alignment horizontal="right"/>
    </xf>
    <xf numFmtId="0" fontId="10" fillId="7" borderId="16" xfId="3" quotePrefix="1" applyFont="1" applyFill="1" applyBorder="1" applyAlignment="1"/>
    <xf numFmtId="3" fontId="10" fillId="4" borderId="0" xfId="3" applyNumberFormat="1" applyFont="1" applyFill="1" applyAlignment="1">
      <alignment horizontal="right"/>
    </xf>
    <xf numFmtId="3" fontId="10" fillId="6" borderId="0" xfId="3" applyNumberFormat="1" applyFont="1" applyFill="1" applyAlignment="1">
      <alignment horizontal="right"/>
    </xf>
    <xf numFmtId="0" fontId="5" fillId="7" borderId="16" xfId="3" quotePrefix="1" applyFont="1" applyFill="1" applyBorder="1" applyAlignment="1"/>
    <xf numFmtId="166" fontId="10" fillId="9" borderId="13" xfId="3" applyNumberFormat="1" applyFont="1" applyFill="1" applyBorder="1" applyAlignment="1">
      <alignment horizontal="right"/>
    </xf>
    <xf numFmtId="166" fontId="10" fillId="4" borderId="0" xfId="3" applyNumberFormat="1" applyFont="1" applyFill="1" applyAlignment="1">
      <alignment horizontal="right"/>
    </xf>
    <xf numFmtId="166" fontId="10" fillId="4" borderId="13" xfId="3" applyNumberFormat="1" applyFont="1" applyFill="1" applyBorder="1" applyAlignment="1">
      <alignment horizontal="right"/>
    </xf>
    <xf numFmtId="166" fontId="10" fillId="6" borderId="0" xfId="3" applyNumberFormat="1" applyFont="1" applyFill="1" applyAlignment="1">
      <alignment horizontal="right"/>
    </xf>
    <xf numFmtId="166" fontId="10" fillId="6" borderId="13" xfId="3" applyNumberFormat="1" applyFont="1" applyFill="1" applyBorder="1" applyAlignment="1">
      <alignment horizontal="right"/>
    </xf>
    <xf numFmtId="9" fontId="5" fillId="9" borderId="0" xfId="2" applyFont="1" applyFill="1" applyBorder="1" applyAlignment="1">
      <alignment horizontal="right"/>
    </xf>
    <xf numFmtId="0" fontId="10" fillId="7" borderId="26" xfId="3" quotePrefix="1" applyFont="1" applyFill="1" applyBorder="1" applyAlignment="1"/>
    <xf numFmtId="3" fontId="10" fillId="4" borderId="26" xfId="3" applyNumberFormat="1" applyFont="1" applyFill="1" applyBorder="1" applyAlignment="1">
      <alignment horizontal="right"/>
    </xf>
    <xf numFmtId="0" fontId="10" fillId="7" borderId="27" xfId="3" quotePrefix="1" applyFont="1" applyFill="1" applyBorder="1"/>
    <xf numFmtId="166" fontId="10" fillId="4" borderId="14" xfId="3" applyNumberFormat="1" applyFont="1" applyFill="1" applyBorder="1" applyAlignment="1">
      <alignment horizontal="right"/>
    </xf>
    <xf numFmtId="3" fontId="5" fillId="4" borderId="0" xfId="2" applyNumberFormat="1" applyFont="1" applyFill="1" applyBorder="1" applyAlignment="1">
      <alignment horizontal="right"/>
    </xf>
    <xf numFmtId="3" fontId="5" fillId="4" borderId="13" xfId="2" applyNumberFormat="1" applyFont="1" applyFill="1" applyBorder="1" applyAlignment="1">
      <alignment horizontal="right"/>
    </xf>
    <xf numFmtId="3" fontId="5" fillId="4" borderId="0" xfId="3" applyNumberFormat="1" applyFont="1" applyFill="1" applyAlignment="1">
      <alignment horizontal="right"/>
    </xf>
    <xf numFmtId="3" fontId="5" fillId="6" borderId="0" xfId="1" applyNumberFormat="1" applyFont="1" applyFill="1" applyBorder="1" applyAlignment="1">
      <alignment horizontal="right"/>
    </xf>
    <xf numFmtId="3" fontId="5" fillId="6" borderId="0" xfId="3" applyNumberFormat="1" applyFont="1" applyFill="1" applyAlignment="1">
      <alignment horizontal="right"/>
    </xf>
    <xf numFmtId="3" fontId="5" fillId="9" borderId="13" xfId="1" applyNumberFormat="1" applyFont="1" applyFill="1" applyBorder="1" applyAlignment="1">
      <alignment horizontal="right"/>
    </xf>
    <xf numFmtId="3" fontId="5" fillId="4" borderId="0" xfId="1" applyNumberFormat="1" applyFont="1" applyFill="1" applyBorder="1" applyAlignment="1">
      <alignment horizontal="right"/>
    </xf>
    <xf numFmtId="3" fontId="5" fillId="4" borderId="13" xfId="1" applyNumberFormat="1" applyFont="1" applyFill="1" applyBorder="1" applyAlignment="1">
      <alignment horizontal="right"/>
    </xf>
    <xf numFmtId="9" fontId="8" fillId="4" borderId="17" xfId="2" applyFont="1" applyFill="1" applyBorder="1" applyAlignment="1">
      <alignment horizontal="right"/>
    </xf>
    <xf numFmtId="0" fontId="14" fillId="7" borderId="13" xfId="3" quotePrefix="1" applyFont="1" applyFill="1" applyBorder="1" applyAlignment="1"/>
    <xf numFmtId="3" fontId="10" fillId="4" borderId="28" xfId="2" applyNumberFormat="1" applyFont="1" applyFill="1" applyBorder="1" applyAlignment="1">
      <alignment horizontal="right"/>
    </xf>
    <xf numFmtId="3" fontId="10" fillId="4" borderId="26" xfId="2" applyNumberFormat="1" applyFont="1" applyFill="1" applyBorder="1" applyAlignment="1">
      <alignment horizontal="right"/>
    </xf>
    <xf numFmtId="0" fontId="10" fillId="7" borderId="4" xfId="3" applyFont="1" applyFill="1" applyBorder="1" applyAlignment="1"/>
    <xf numFmtId="0" fontId="10" fillId="7" borderId="18" xfId="3" quotePrefix="1" applyFont="1" applyFill="1" applyBorder="1"/>
    <xf numFmtId="0" fontId="10" fillId="7" borderId="0" xfId="3" quotePrefix="1" applyFont="1" applyFill="1"/>
    <xf numFmtId="0" fontId="10" fillId="7" borderId="18" xfId="3" quotePrefix="1" applyFont="1" applyFill="1" applyBorder="1" applyAlignment="1"/>
    <xf numFmtId="166" fontId="5" fillId="7" borderId="0" xfId="5" applyNumberFormat="1" applyFont="1" applyFill="1" applyBorder="1"/>
    <xf numFmtId="0" fontId="5" fillId="7" borderId="0" xfId="3" quotePrefix="1" applyFont="1" applyFill="1" applyAlignment="1"/>
    <xf numFmtId="0" fontId="5" fillId="7" borderId="13" xfId="3" quotePrefix="1" applyFont="1" applyFill="1" applyBorder="1"/>
    <xf numFmtId="0" fontId="10" fillId="7" borderId="14" xfId="3" quotePrefix="1" applyFont="1" applyFill="1" applyBorder="1" applyAlignment="1"/>
    <xf numFmtId="166" fontId="10" fillId="9" borderId="0" xfId="3" applyNumberFormat="1" applyFont="1" applyFill="1" applyAlignment="1">
      <alignment horizontal="right"/>
    </xf>
    <xf numFmtId="166" fontId="5" fillId="9" borderId="0" xfId="3" applyNumberFormat="1" applyFont="1" applyFill="1" applyAlignment="1">
      <alignment horizontal="right"/>
    </xf>
    <xf numFmtId="0" fontId="11" fillId="8" borderId="10" xfId="3" applyFont="1" applyFill="1" applyBorder="1" applyAlignment="1">
      <alignment horizontal="center"/>
    </xf>
    <xf numFmtId="0" fontId="11" fillId="8" borderId="11" xfId="3" applyFont="1" applyFill="1" applyBorder="1" applyAlignment="1">
      <alignment horizontal="center"/>
    </xf>
    <xf numFmtId="3" fontId="10" fillId="9" borderId="0" xfId="3" applyNumberFormat="1" applyFont="1" applyFill="1" applyAlignment="1">
      <alignment horizontal="right"/>
    </xf>
    <xf numFmtId="3" fontId="5" fillId="9" borderId="0" xfId="3" applyNumberFormat="1" applyFont="1" applyFill="1" applyAlignment="1">
      <alignment horizontal="right"/>
    </xf>
    <xf numFmtId="3" fontId="5" fillId="9" borderId="0" xfId="1" applyNumberFormat="1" applyFont="1" applyFill="1" applyBorder="1" applyAlignment="1">
      <alignment horizontal="right"/>
    </xf>
    <xf numFmtId="0" fontId="5" fillId="7" borderId="23" xfId="3" quotePrefix="1" applyFont="1" applyFill="1" applyBorder="1"/>
    <xf numFmtId="0" fontId="10" fillId="7" borderId="17" xfId="3" quotePrefix="1" applyFont="1" applyFill="1" applyBorder="1" applyAlignment="1"/>
    <xf numFmtId="0" fontId="5" fillId="7" borderId="14" xfId="3" quotePrefix="1" applyFont="1" applyFill="1" applyBorder="1"/>
    <xf numFmtId="0" fontId="5" fillId="7" borderId="20" xfId="3" quotePrefix="1" applyFont="1" applyFill="1" applyBorder="1" applyAlignment="1"/>
    <xf numFmtId="0" fontId="10" fillId="7" borderId="26" xfId="3" quotePrefix="1" applyFont="1" applyFill="1" applyBorder="1"/>
    <xf numFmtId="0" fontId="8" fillId="7" borderId="17" xfId="3" quotePrefix="1" applyFont="1" applyFill="1" applyBorder="1" applyAlignment="1"/>
    <xf numFmtId="0" fontId="8" fillId="7" borderId="13" xfId="3" quotePrefix="1" applyFont="1" applyFill="1" applyBorder="1" applyAlignment="1"/>
    <xf numFmtId="0" fontId="3" fillId="2" borderId="1" xfId="3" applyFont="1" applyFill="1" applyBorder="1" applyAlignment="1">
      <alignment horizontal="left"/>
    </xf>
    <xf numFmtId="3" fontId="10" fillId="6" borderId="17" xfId="3" applyNumberFormat="1" applyFont="1" applyFill="1" applyBorder="1" applyAlignment="1">
      <alignment horizontal="right"/>
    </xf>
    <xf numFmtId="3" fontId="5" fillId="6" borderId="13" xfId="1" applyNumberFormat="1" applyFont="1" applyFill="1" applyBorder="1" applyAlignment="1">
      <alignment horizontal="right"/>
    </xf>
    <xf numFmtId="4" fontId="5" fillId="4" borderId="14" xfId="3" applyNumberFormat="1" applyFont="1" applyFill="1" applyBorder="1" applyAlignment="1">
      <alignment horizontal="right"/>
    </xf>
    <xf numFmtId="3" fontId="10" fillId="9" borderId="17" xfId="3" applyNumberFormat="1" applyFont="1" applyFill="1" applyBorder="1" applyAlignment="1">
      <alignment horizontal="right"/>
    </xf>
    <xf numFmtId="3" fontId="10" fillId="4" borderId="17" xfId="3" applyNumberFormat="1" applyFont="1" applyFill="1" applyBorder="1" applyAlignment="1">
      <alignment horizontal="right"/>
    </xf>
    <xf numFmtId="3" fontId="10" fillId="9" borderId="19" xfId="3" applyNumberFormat="1" applyFont="1" applyFill="1" applyBorder="1" applyAlignment="1">
      <alignment horizontal="right"/>
    </xf>
    <xf numFmtId="3" fontId="10" fillId="4" borderId="19" xfId="3" applyNumberFormat="1" applyFont="1" applyFill="1" applyBorder="1" applyAlignment="1">
      <alignment horizontal="right"/>
    </xf>
    <xf numFmtId="3" fontId="10" fillId="6" borderId="19" xfId="3" applyNumberFormat="1" applyFont="1" applyFill="1" applyBorder="1" applyAlignment="1">
      <alignment horizontal="right"/>
    </xf>
    <xf numFmtId="3" fontId="5" fillId="6" borderId="13" xfId="1" quotePrefix="1" applyNumberFormat="1" applyFont="1" applyFill="1" applyBorder="1" applyAlignment="1">
      <alignment horizontal="right"/>
    </xf>
    <xf numFmtId="3" fontId="10" fillId="4" borderId="28" xfId="1" applyNumberFormat="1" applyFont="1" applyFill="1" applyBorder="1" applyAlignment="1">
      <alignment horizontal="right"/>
    </xf>
    <xf numFmtId="3" fontId="10" fillId="4" borderId="26" xfId="1" applyNumberFormat="1" applyFont="1" applyFill="1" applyBorder="1" applyAlignment="1">
      <alignment horizontal="right"/>
    </xf>
    <xf numFmtId="3" fontId="8" fillId="4" borderId="13" xfId="3" applyNumberFormat="1" applyFont="1" applyFill="1" applyBorder="1" applyAlignment="1">
      <alignment horizontal="right"/>
    </xf>
    <xf numFmtId="16" fontId="11" fillId="3" borderId="10" xfId="3" quotePrefix="1" applyNumberFormat="1" applyFont="1" applyFill="1" applyBorder="1" applyAlignment="1">
      <alignment horizontal="center"/>
    </xf>
    <xf numFmtId="3" fontId="8" fillId="4" borderId="13" xfId="2" applyNumberFormat="1" applyFont="1" applyFill="1" applyBorder="1" applyAlignment="1">
      <alignment horizontal="right"/>
    </xf>
    <xf numFmtId="0" fontId="8" fillId="7" borderId="13" xfId="3" quotePrefix="1" applyFont="1" applyFill="1" applyBorder="1" applyAlignment="1">
      <alignment wrapText="1"/>
    </xf>
    <xf numFmtId="0" fontId="5" fillId="0" borderId="0" xfId="4" quotePrefix="1" applyAlignment="1">
      <alignment horizontal="left" vertical="center" wrapText="1"/>
    </xf>
    <xf numFmtId="3" fontId="5" fillId="9" borderId="13" xfId="3" quotePrefix="1" applyNumberFormat="1" applyFont="1" applyFill="1" applyBorder="1" applyAlignment="1">
      <alignment horizontal="right"/>
    </xf>
    <xf numFmtId="0" fontId="0" fillId="7" borderId="0" xfId="0" applyFill="1"/>
    <xf numFmtId="3" fontId="0" fillId="7" borderId="0" xfId="0" applyNumberFormat="1" applyFill="1"/>
    <xf numFmtId="166" fontId="4" fillId="7" borderId="0" xfId="1" quotePrefix="1" applyNumberFormat="1" applyFont="1" applyFill="1" applyBorder="1" applyAlignment="1">
      <alignment horizontal="right"/>
    </xf>
    <xf numFmtId="0" fontId="4" fillId="7" borderId="0" xfId="3" applyFont="1" applyFill="1" applyAlignment="1"/>
    <xf numFmtId="0" fontId="11" fillId="8" borderId="31" xfId="3" applyFont="1" applyFill="1" applyBorder="1" applyAlignment="1">
      <alignment horizontal="center"/>
    </xf>
    <xf numFmtId="0" fontId="11" fillId="8" borderId="32" xfId="3" applyFont="1" applyFill="1" applyBorder="1" applyAlignment="1">
      <alignment horizontal="center"/>
    </xf>
    <xf numFmtId="0" fontId="11" fillId="3" borderId="31" xfId="3" applyFont="1" applyFill="1" applyBorder="1" applyAlignment="1">
      <alignment horizontal="center"/>
    </xf>
    <xf numFmtId="0" fontId="11" fillId="3" borderId="32" xfId="3" applyFont="1" applyFill="1" applyBorder="1" applyAlignment="1">
      <alignment horizontal="center"/>
    </xf>
    <xf numFmtId="0" fontId="11" fillId="5" borderId="31" xfId="3" applyFont="1" applyFill="1" applyBorder="1" applyAlignment="1">
      <alignment horizontal="center"/>
    </xf>
    <xf numFmtId="0" fontId="11" fillId="5" borderId="33" xfId="3" applyFont="1" applyFill="1" applyBorder="1" applyAlignment="1">
      <alignment horizontal="center"/>
    </xf>
    <xf numFmtId="0" fontId="10" fillId="7" borderId="16" xfId="3" quotePrefix="1" applyFont="1" applyFill="1" applyBorder="1"/>
    <xf numFmtId="166" fontId="5" fillId="7" borderId="16" xfId="5" applyNumberFormat="1" applyFont="1" applyFill="1" applyBorder="1"/>
    <xf numFmtId="0" fontId="11" fillId="8" borderId="34" xfId="3" applyFont="1" applyFill="1" applyBorder="1" applyAlignment="1">
      <alignment horizontal="center"/>
    </xf>
    <xf numFmtId="0" fontId="3" fillId="2" borderId="17" xfId="3" applyFont="1" applyFill="1" applyBorder="1" applyAlignment="1"/>
    <xf numFmtId="0" fontId="5" fillId="0" borderId="0" xfId="3" quotePrefix="1" applyFont="1"/>
    <xf numFmtId="9" fontId="5" fillId="0" borderId="0" xfId="2" applyFont="1" applyFill="1" applyBorder="1" applyAlignment="1">
      <alignment horizontal="right"/>
    </xf>
    <xf numFmtId="0" fontId="4" fillId="0" borderId="0" xfId="3" quotePrefix="1" applyFont="1"/>
    <xf numFmtId="166" fontId="4" fillId="0" borderId="0" xfId="1" quotePrefix="1" applyNumberFormat="1" applyFont="1" applyFill="1" applyBorder="1" applyAlignment="1">
      <alignment horizontal="right"/>
    </xf>
    <xf numFmtId="170" fontId="10" fillId="9" borderId="15" xfId="3" applyNumberFormat="1" applyFont="1" applyFill="1" applyBorder="1" applyAlignment="1">
      <alignment horizontal="right"/>
    </xf>
    <xf numFmtId="170" fontId="10" fillId="4" borderId="15" xfId="3" applyNumberFormat="1" applyFont="1" applyFill="1" applyBorder="1" applyAlignment="1">
      <alignment horizontal="right"/>
    </xf>
    <xf numFmtId="170" fontId="10" fillId="6" borderId="15" xfId="3" applyNumberFormat="1" applyFont="1" applyFill="1" applyBorder="1" applyAlignment="1">
      <alignment horizontal="right"/>
    </xf>
    <xf numFmtId="170" fontId="10" fillId="9" borderId="13" xfId="3" applyNumberFormat="1" applyFont="1" applyFill="1" applyBorder="1" applyAlignment="1">
      <alignment horizontal="right"/>
    </xf>
    <xf numFmtId="170" fontId="10" fillId="9" borderId="17" xfId="3" applyNumberFormat="1" applyFont="1" applyFill="1" applyBorder="1" applyAlignment="1">
      <alignment horizontal="right"/>
    </xf>
    <xf numFmtId="170" fontId="10" fillId="9" borderId="0" xfId="3" applyNumberFormat="1" applyFont="1" applyFill="1" applyAlignment="1">
      <alignment horizontal="right"/>
    </xf>
    <xf numFmtId="170" fontId="10" fillId="4" borderId="0" xfId="3" applyNumberFormat="1" applyFont="1" applyFill="1" applyAlignment="1">
      <alignment horizontal="right"/>
    </xf>
    <xf numFmtId="170" fontId="10" fillId="4" borderId="17" xfId="3" applyNumberFormat="1" applyFont="1" applyFill="1" applyBorder="1" applyAlignment="1">
      <alignment horizontal="right"/>
    </xf>
    <xf numFmtId="170" fontId="10" fillId="6" borderId="0" xfId="3" applyNumberFormat="1" applyFont="1" applyFill="1" applyAlignment="1">
      <alignment horizontal="right"/>
    </xf>
    <xf numFmtId="170" fontId="10" fillId="6" borderId="17" xfId="3" applyNumberFormat="1" applyFont="1" applyFill="1" applyBorder="1" applyAlignment="1">
      <alignment horizontal="right"/>
    </xf>
    <xf numFmtId="170" fontId="5" fillId="9" borderId="13" xfId="3" applyNumberFormat="1" applyFont="1" applyFill="1" applyBorder="1" applyAlignment="1">
      <alignment horizontal="right"/>
    </xf>
    <xf numFmtId="170" fontId="5" fillId="9" borderId="0" xfId="3" applyNumberFormat="1" applyFont="1" applyFill="1" applyAlignment="1">
      <alignment horizontal="right"/>
    </xf>
    <xf numFmtId="170" fontId="5" fillId="4" borderId="0" xfId="3" applyNumberFormat="1" applyFont="1" applyFill="1" applyAlignment="1">
      <alignment horizontal="right"/>
    </xf>
    <xf numFmtId="170" fontId="5" fillId="4" borderId="13" xfId="3" applyNumberFormat="1" applyFont="1" applyFill="1" applyBorder="1" applyAlignment="1">
      <alignment horizontal="right"/>
    </xf>
    <xf numFmtId="170" fontId="5" fillId="6" borderId="0" xfId="3" applyNumberFormat="1" applyFont="1" applyFill="1" applyAlignment="1">
      <alignment horizontal="right"/>
    </xf>
    <xf numFmtId="170" fontId="5" fillId="6" borderId="13" xfId="3" applyNumberFormat="1" applyFont="1" applyFill="1" applyBorder="1" applyAlignment="1">
      <alignment horizontal="right"/>
    </xf>
    <xf numFmtId="170" fontId="10" fillId="9" borderId="19" xfId="3" applyNumberFormat="1" applyFont="1" applyFill="1" applyBorder="1" applyAlignment="1">
      <alignment horizontal="right"/>
    </xf>
    <xf numFmtId="170" fontId="10" fillId="4" borderId="19" xfId="3" applyNumberFormat="1" applyFont="1" applyFill="1" applyBorder="1" applyAlignment="1">
      <alignment horizontal="right"/>
    </xf>
    <xf numFmtId="170" fontId="10" fillId="6" borderId="19" xfId="3" applyNumberFormat="1" applyFont="1" applyFill="1" applyBorder="1" applyAlignment="1">
      <alignment horizontal="right"/>
    </xf>
    <xf numFmtId="170" fontId="10" fillId="4" borderId="13" xfId="3" applyNumberFormat="1" applyFont="1" applyFill="1" applyBorder="1" applyAlignment="1">
      <alignment horizontal="right"/>
    </xf>
    <xf numFmtId="170" fontId="10" fillId="6" borderId="13" xfId="3" applyNumberFormat="1" applyFont="1" applyFill="1" applyBorder="1" applyAlignment="1">
      <alignment horizontal="right"/>
    </xf>
    <xf numFmtId="170" fontId="5" fillId="9" borderId="13" xfId="1" applyNumberFormat="1" applyFont="1" applyFill="1" applyBorder="1" applyAlignment="1">
      <alignment horizontal="right"/>
    </xf>
    <xf numFmtId="170" fontId="5" fillId="9" borderId="0" xfId="1" applyNumberFormat="1" applyFont="1" applyFill="1" applyBorder="1" applyAlignment="1">
      <alignment horizontal="right"/>
    </xf>
    <xf numFmtId="170" fontId="5" fillId="4" borderId="0" xfId="1" applyNumberFormat="1" applyFont="1" applyFill="1" applyBorder="1" applyAlignment="1">
      <alignment horizontal="right"/>
    </xf>
    <xf numFmtId="170" fontId="5" fillId="4" borderId="13" xfId="1" applyNumberFormat="1" applyFont="1" applyFill="1" applyBorder="1" applyAlignment="1">
      <alignment horizontal="right"/>
    </xf>
    <xf numFmtId="170" fontId="5" fillId="6" borderId="0" xfId="1" applyNumberFormat="1" applyFont="1" applyFill="1" applyBorder="1" applyAlignment="1">
      <alignment horizontal="right"/>
    </xf>
    <xf numFmtId="170" fontId="5" fillId="6" borderId="13" xfId="1" applyNumberFormat="1" applyFont="1" applyFill="1" applyBorder="1" applyAlignment="1">
      <alignment horizontal="right"/>
    </xf>
    <xf numFmtId="170" fontId="5" fillId="6" borderId="13" xfId="1" quotePrefix="1" applyNumberFormat="1" applyFont="1" applyFill="1" applyBorder="1" applyAlignment="1">
      <alignment horizontal="right"/>
    </xf>
    <xf numFmtId="171" fontId="12" fillId="0" borderId="0" xfId="2" applyNumberFormat="1" applyFont="1"/>
    <xf numFmtId="0" fontId="5" fillId="10" borderId="0" xfId="3" applyFont="1" applyFill="1" applyAlignment="1"/>
    <xf numFmtId="0" fontId="4" fillId="10" borderId="0" xfId="3" applyFont="1" applyFill="1" applyAlignment="1"/>
    <xf numFmtId="0" fontId="11" fillId="12" borderId="10" xfId="3" applyFont="1" applyFill="1" applyBorder="1" applyAlignment="1">
      <alignment horizontal="center"/>
    </xf>
    <xf numFmtId="0" fontId="11" fillId="12" borderId="12" xfId="3" applyFont="1" applyFill="1" applyBorder="1" applyAlignment="1">
      <alignment horizontal="center"/>
    </xf>
    <xf numFmtId="3" fontId="10" fillId="13" borderId="13" xfId="3" applyNumberFormat="1" applyFont="1" applyFill="1" applyBorder="1" applyAlignment="1">
      <alignment horizontal="right"/>
    </xf>
    <xf numFmtId="3" fontId="5" fillId="13" borderId="13" xfId="3" applyNumberFormat="1" applyFont="1" applyFill="1" applyBorder="1" applyAlignment="1">
      <alignment horizontal="right"/>
    </xf>
    <xf numFmtId="3" fontId="10" fillId="13" borderId="15" xfId="3" applyNumberFormat="1" applyFont="1" applyFill="1" applyBorder="1" applyAlignment="1">
      <alignment horizontal="right"/>
    </xf>
    <xf numFmtId="166" fontId="10" fillId="13" borderId="14" xfId="3" applyNumberFormat="1" applyFont="1" applyFill="1" applyBorder="1" applyAlignment="1">
      <alignment horizontal="right"/>
    </xf>
    <xf numFmtId="3" fontId="10" fillId="13" borderId="0" xfId="3" applyNumberFormat="1" applyFont="1" applyFill="1" applyAlignment="1">
      <alignment horizontal="right"/>
    </xf>
    <xf numFmtId="3" fontId="10" fillId="13" borderId="29" xfId="3" applyNumberFormat="1" applyFont="1" applyFill="1" applyBorder="1" applyAlignment="1">
      <alignment horizontal="right"/>
    </xf>
    <xf numFmtId="3" fontId="5" fillId="13" borderId="13" xfId="2" applyNumberFormat="1" applyFont="1" applyFill="1" applyBorder="1" applyAlignment="1">
      <alignment horizontal="right"/>
    </xf>
    <xf numFmtId="3" fontId="5" fillId="13" borderId="29" xfId="2" applyNumberFormat="1" applyFont="1" applyFill="1" applyBorder="1" applyAlignment="1">
      <alignment horizontal="right"/>
    </xf>
    <xf numFmtId="3" fontId="10" fillId="13" borderId="28" xfId="2" applyNumberFormat="1" applyFont="1" applyFill="1" applyBorder="1" applyAlignment="1">
      <alignment horizontal="right"/>
    </xf>
    <xf numFmtId="3" fontId="10" fillId="13" borderId="26" xfId="2" applyNumberFormat="1" applyFont="1" applyFill="1" applyBorder="1" applyAlignment="1">
      <alignment horizontal="right"/>
    </xf>
    <xf numFmtId="3" fontId="10" fillId="13" borderId="30" xfId="2" applyNumberFormat="1" applyFont="1" applyFill="1" applyBorder="1" applyAlignment="1">
      <alignment horizontal="right"/>
    </xf>
    <xf numFmtId="3" fontId="5" fillId="13" borderId="0" xfId="1" applyNumberFormat="1" applyFont="1" applyFill="1" applyBorder="1" applyAlignment="1">
      <alignment horizontal="right"/>
    </xf>
    <xf numFmtId="3" fontId="5" fillId="13" borderId="0" xfId="3" applyNumberFormat="1" applyFont="1" applyFill="1" applyAlignment="1">
      <alignment horizontal="right"/>
    </xf>
    <xf numFmtId="16" fontId="11" fillId="12" borderId="10" xfId="3" quotePrefix="1" applyNumberFormat="1" applyFont="1" applyFill="1" applyBorder="1" applyAlignment="1">
      <alignment horizontal="center"/>
    </xf>
    <xf numFmtId="3" fontId="10" fillId="13" borderId="24" xfId="3" applyNumberFormat="1" applyFont="1" applyFill="1" applyBorder="1" applyAlignment="1">
      <alignment horizontal="right"/>
    </xf>
    <xf numFmtId="3" fontId="10" fillId="13" borderId="26" xfId="3" applyNumberFormat="1" applyFont="1" applyFill="1" applyBorder="1" applyAlignment="1">
      <alignment horizontal="right"/>
    </xf>
    <xf numFmtId="3" fontId="10" fillId="13" borderId="17" xfId="3" applyNumberFormat="1" applyFont="1" applyFill="1" applyBorder="1" applyAlignment="1">
      <alignment horizontal="right"/>
    </xf>
    <xf numFmtId="3" fontId="5" fillId="13" borderId="13" xfId="1" applyNumberFormat="1" applyFont="1" applyFill="1" applyBorder="1" applyAlignment="1">
      <alignment horizontal="right"/>
    </xf>
    <xf numFmtId="3" fontId="5" fillId="13" borderId="14" xfId="1" applyNumberFormat="1" applyFont="1" applyFill="1" applyBorder="1" applyAlignment="1">
      <alignment horizontal="right"/>
    </xf>
    <xf numFmtId="3" fontId="5" fillId="13" borderId="13" xfId="1" quotePrefix="1" applyNumberFormat="1" applyFont="1" applyFill="1" applyBorder="1" applyAlignment="1">
      <alignment horizontal="right"/>
    </xf>
    <xf numFmtId="3" fontId="10" fillId="13" borderId="28" xfId="1" applyNumberFormat="1" applyFont="1" applyFill="1" applyBorder="1" applyAlignment="1">
      <alignment horizontal="right"/>
    </xf>
    <xf numFmtId="3" fontId="10" fillId="13" borderId="26" xfId="1" applyNumberFormat="1" applyFont="1" applyFill="1" applyBorder="1" applyAlignment="1">
      <alignment horizontal="right"/>
    </xf>
    <xf numFmtId="3" fontId="10" fillId="13" borderId="26" xfId="1" quotePrefix="1" applyNumberFormat="1" applyFont="1" applyFill="1" applyBorder="1" applyAlignment="1">
      <alignment horizontal="right"/>
    </xf>
    <xf numFmtId="9" fontId="8" fillId="13" borderId="17" xfId="2" applyFont="1" applyFill="1" applyBorder="1" applyAlignment="1">
      <alignment horizontal="right"/>
    </xf>
    <xf numFmtId="3" fontId="8" fillId="13" borderId="13" xfId="3" applyNumberFormat="1" applyFont="1" applyFill="1" applyBorder="1" applyAlignment="1">
      <alignment horizontal="right"/>
    </xf>
    <xf numFmtId="3" fontId="5" fillId="13" borderId="14" xfId="3" applyNumberFormat="1" applyFont="1" applyFill="1" applyBorder="1" applyAlignment="1">
      <alignment horizontal="right"/>
    </xf>
    <xf numFmtId="3" fontId="5" fillId="13" borderId="17" xfId="3" applyNumberFormat="1" applyFont="1" applyFill="1" applyBorder="1" applyAlignment="1">
      <alignment horizontal="right"/>
    </xf>
    <xf numFmtId="3" fontId="5" fillId="13" borderId="29" xfId="3" applyNumberFormat="1" applyFont="1" applyFill="1" applyBorder="1" applyAlignment="1">
      <alignment horizontal="right"/>
    </xf>
    <xf numFmtId="3" fontId="6" fillId="13" borderId="13" xfId="3" applyNumberFormat="1" applyFont="1" applyFill="1" applyBorder="1" applyAlignment="1">
      <alignment horizontal="right"/>
    </xf>
    <xf numFmtId="9" fontId="5" fillId="13" borderId="13" xfId="2" applyFont="1" applyFill="1" applyBorder="1" applyAlignment="1">
      <alignment horizontal="right"/>
    </xf>
    <xf numFmtId="4" fontId="5" fillId="13" borderId="13" xfId="3" applyNumberFormat="1" applyFont="1" applyFill="1" applyBorder="1" applyAlignment="1">
      <alignment horizontal="right"/>
    </xf>
    <xf numFmtId="4" fontId="5" fillId="13" borderId="14" xfId="3" applyNumberFormat="1" applyFont="1" applyFill="1" applyBorder="1" applyAlignment="1">
      <alignment horizontal="right"/>
    </xf>
    <xf numFmtId="168" fontId="9" fillId="13" borderId="17" xfId="1" applyNumberFormat="1" applyFont="1" applyFill="1" applyBorder="1" applyAlignment="1">
      <alignment horizontal="right"/>
    </xf>
    <xf numFmtId="168" fontId="9" fillId="13" borderId="13" xfId="1" applyNumberFormat="1" applyFont="1" applyFill="1" applyBorder="1" applyAlignment="1">
      <alignment horizontal="right"/>
    </xf>
    <xf numFmtId="166" fontId="4" fillId="13" borderId="0" xfId="3" applyNumberFormat="1" applyFont="1" applyFill="1" applyAlignment="1">
      <alignment horizontal="right"/>
    </xf>
    <xf numFmtId="166" fontId="4" fillId="13" borderId="13" xfId="3" applyNumberFormat="1" applyFont="1" applyFill="1" applyBorder="1" applyAlignment="1">
      <alignment horizontal="right"/>
    </xf>
    <xf numFmtId="166" fontId="4" fillId="13" borderId="21" xfId="1" applyNumberFormat="1" applyFont="1" applyFill="1" applyBorder="1" applyAlignment="1">
      <alignment horizontal="right"/>
    </xf>
    <xf numFmtId="166" fontId="4" fillId="13" borderId="14" xfId="1" applyNumberFormat="1" applyFont="1" applyFill="1" applyBorder="1" applyAlignment="1">
      <alignment horizontal="right"/>
    </xf>
    <xf numFmtId="166" fontId="4" fillId="13" borderId="14" xfId="1" quotePrefix="1" applyNumberFormat="1" applyFont="1" applyFill="1" applyBorder="1" applyAlignment="1">
      <alignment horizontal="right"/>
    </xf>
    <xf numFmtId="3" fontId="10" fillId="13" borderId="19" xfId="3" applyNumberFormat="1" applyFont="1" applyFill="1" applyBorder="1" applyAlignment="1">
      <alignment horizontal="right"/>
    </xf>
    <xf numFmtId="9" fontId="5" fillId="13" borderId="0" xfId="2" applyFont="1" applyFill="1" applyBorder="1" applyAlignment="1">
      <alignment horizontal="right"/>
    </xf>
    <xf numFmtId="166" fontId="10" fillId="13" borderId="0" xfId="3" applyNumberFormat="1" applyFont="1" applyFill="1" applyAlignment="1">
      <alignment horizontal="right"/>
    </xf>
    <xf numFmtId="166" fontId="10" fillId="13" borderId="13" xfId="3" applyNumberFormat="1" applyFont="1" applyFill="1" applyBorder="1" applyAlignment="1">
      <alignment horizontal="right"/>
    </xf>
    <xf numFmtId="166" fontId="5" fillId="13" borderId="0" xfId="3" applyNumberFormat="1" applyFont="1" applyFill="1" applyAlignment="1">
      <alignment horizontal="right"/>
    </xf>
    <xf numFmtId="166" fontId="5" fillId="13" borderId="13" xfId="3" applyNumberFormat="1" applyFont="1" applyFill="1" applyBorder="1" applyAlignment="1">
      <alignment horizontal="right"/>
    </xf>
    <xf numFmtId="0" fontId="11" fillId="12" borderId="31" xfId="3" applyFont="1" applyFill="1" applyBorder="1" applyAlignment="1">
      <alignment horizontal="center"/>
    </xf>
    <xf numFmtId="0" fontId="11" fillId="12" borderId="33" xfId="3" applyFont="1" applyFill="1" applyBorder="1" applyAlignment="1">
      <alignment horizontal="center"/>
    </xf>
    <xf numFmtId="170" fontId="10" fillId="13" borderId="15" xfId="3" applyNumberFormat="1" applyFont="1" applyFill="1" applyBorder="1" applyAlignment="1">
      <alignment horizontal="right"/>
    </xf>
    <xf numFmtId="170" fontId="10" fillId="13" borderId="0" xfId="3" applyNumberFormat="1" applyFont="1" applyFill="1" applyAlignment="1">
      <alignment horizontal="right"/>
    </xf>
    <xf numFmtId="170" fontId="10" fillId="13" borderId="17" xfId="3" applyNumberFormat="1" applyFont="1" applyFill="1" applyBorder="1" applyAlignment="1">
      <alignment horizontal="right"/>
    </xf>
    <xf numFmtId="170" fontId="5" fillId="13" borderId="0" xfId="3" applyNumberFormat="1" applyFont="1" applyFill="1" applyAlignment="1">
      <alignment horizontal="right"/>
    </xf>
    <xf numFmtId="170" fontId="5" fillId="13" borderId="13" xfId="3" applyNumberFormat="1" applyFont="1" applyFill="1" applyBorder="1" applyAlignment="1">
      <alignment horizontal="right"/>
    </xf>
    <xf numFmtId="170" fontId="10" fillId="13" borderId="19" xfId="3" applyNumberFormat="1" applyFont="1" applyFill="1" applyBorder="1" applyAlignment="1">
      <alignment horizontal="right"/>
    </xf>
    <xf numFmtId="170" fontId="10" fillId="13" borderId="13" xfId="3" applyNumberFormat="1" applyFont="1" applyFill="1" applyBorder="1" applyAlignment="1">
      <alignment horizontal="right"/>
    </xf>
    <xf numFmtId="170" fontId="5" fillId="13" borderId="0" xfId="1" applyNumberFormat="1" applyFont="1" applyFill="1" applyBorder="1" applyAlignment="1">
      <alignment horizontal="right"/>
    </xf>
    <xf numFmtId="170" fontId="5" fillId="13" borderId="13" xfId="1" applyNumberFormat="1" applyFont="1" applyFill="1" applyBorder="1" applyAlignment="1">
      <alignment horizontal="right"/>
    </xf>
    <xf numFmtId="170" fontId="5" fillId="13" borderId="13" xfId="1" quotePrefix="1" applyNumberFormat="1" applyFont="1" applyFill="1" applyBorder="1" applyAlignment="1">
      <alignment horizontal="right"/>
    </xf>
    <xf numFmtId="3" fontId="10" fillId="9" borderId="15" xfId="1" applyNumberFormat="1" applyFont="1" applyFill="1" applyBorder="1" applyAlignment="1">
      <alignment horizontal="right"/>
    </xf>
    <xf numFmtId="3" fontId="10" fillId="9" borderId="19" xfId="1" applyNumberFormat="1" applyFont="1" applyFill="1" applyBorder="1" applyAlignment="1">
      <alignment horizontal="right"/>
    </xf>
    <xf numFmtId="3" fontId="10" fillId="4" borderId="19" xfId="1" applyNumberFormat="1" applyFont="1" applyFill="1" applyBorder="1" applyAlignment="1">
      <alignment horizontal="right"/>
    </xf>
    <xf numFmtId="3" fontId="10" fillId="4" borderId="15" xfId="1" applyNumberFormat="1" applyFont="1" applyFill="1" applyBorder="1" applyAlignment="1">
      <alignment horizontal="right"/>
    </xf>
    <xf numFmtId="3" fontId="10" fillId="6" borderId="19" xfId="1" applyNumberFormat="1" applyFont="1" applyFill="1" applyBorder="1" applyAlignment="1">
      <alignment horizontal="right"/>
    </xf>
    <xf numFmtId="3" fontId="10" fillId="6" borderId="15" xfId="1" applyNumberFormat="1" applyFont="1" applyFill="1" applyBorder="1" applyAlignment="1">
      <alignment horizontal="right"/>
    </xf>
    <xf numFmtId="3" fontId="10" fillId="6" borderId="15" xfId="1" quotePrefix="1" applyNumberFormat="1" applyFont="1" applyFill="1" applyBorder="1" applyAlignment="1">
      <alignment horizontal="right"/>
    </xf>
    <xf numFmtId="3" fontId="10" fillId="13" borderId="19" xfId="1" applyNumberFormat="1" applyFont="1" applyFill="1" applyBorder="1" applyAlignment="1">
      <alignment horizontal="right"/>
    </xf>
    <xf numFmtId="3" fontId="10" fillId="13" borderId="15" xfId="1" applyNumberFormat="1" applyFont="1" applyFill="1" applyBorder="1" applyAlignment="1">
      <alignment horizontal="right"/>
    </xf>
    <xf numFmtId="3" fontId="10" fillId="13" borderId="15" xfId="1" quotePrefix="1" applyNumberFormat="1" applyFont="1" applyFill="1" applyBorder="1" applyAlignment="1">
      <alignment horizontal="right"/>
    </xf>
    <xf numFmtId="0" fontId="17" fillId="0" borderId="0" xfId="0" applyFont="1"/>
    <xf numFmtId="0" fontId="11" fillId="8" borderId="35" xfId="3" applyFont="1" applyFill="1" applyBorder="1" applyAlignment="1">
      <alignment horizontal="center"/>
    </xf>
    <xf numFmtId="0" fontId="11" fillId="3" borderId="35" xfId="3" applyFont="1" applyFill="1" applyBorder="1" applyAlignment="1">
      <alignment horizontal="center"/>
    </xf>
    <xf numFmtId="0" fontId="11" fillId="5" borderId="36" xfId="3" applyFont="1" applyFill="1" applyBorder="1" applyAlignment="1">
      <alignment horizontal="center"/>
    </xf>
    <xf numFmtId="0" fontId="11" fillId="12" borderId="36" xfId="3" applyFont="1" applyFill="1" applyBorder="1" applyAlignment="1">
      <alignment horizontal="center"/>
    </xf>
    <xf numFmtId="166" fontId="4" fillId="13" borderId="0" xfId="1" quotePrefix="1" applyNumberFormat="1" applyFont="1" applyFill="1" applyBorder="1" applyAlignment="1">
      <alignment horizontal="right"/>
    </xf>
    <xf numFmtId="172" fontId="0" fillId="0" borderId="0" xfId="1" applyNumberFormat="1" applyFont="1"/>
    <xf numFmtId="3" fontId="5" fillId="13" borderId="14" xfId="2" applyNumberFormat="1" applyFont="1" applyFill="1" applyBorder="1" applyAlignment="1">
      <alignment horizontal="right"/>
    </xf>
    <xf numFmtId="168" fontId="0" fillId="0" borderId="0" xfId="1" applyNumberFormat="1" applyFont="1" applyBorder="1"/>
    <xf numFmtId="0" fontId="5" fillId="0" borderId="0" xfId="4"/>
    <xf numFmtId="168" fontId="0" fillId="0" borderId="0" xfId="1" applyNumberFormat="1" applyFont="1" applyFill="1" applyBorder="1"/>
    <xf numFmtId="3" fontId="10" fillId="0" borderId="0" xfId="3" applyNumberFormat="1" applyFont="1" applyAlignment="1">
      <alignment horizontal="right"/>
    </xf>
    <xf numFmtId="3" fontId="5" fillId="13" borderId="14" xfId="1" quotePrefix="1" applyNumberFormat="1" applyFont="1" applyFill="1" applyBorder="1" applyAlignment="1">
      <alignment horizontal="right"/>
    </xf>
    <xf numFmtId="9" fontId="5" fillId="13" borderId="29" xfId="2" applyFont="1" applyFill="1" applyBorder="1" applyAlignment="1">
      <alignment horizontal="right"/>
    </xf>
    <xf numFmtId="9" fontId="5" fillId="13" borderId="17" xfId="2" applyFont="1" applyFill="1" applyBorder="1" applyAlignment="1">
      <alignment horizontal="right"/>
    </xf>
    <xf numFmtId="3" fontId="10" fillId="14" borderId="15" xfId="3" applyNumberFormat="1" applyFont="1" applyFill="1" applyBorder="1" applyAlignment="1">
      <alignment horizontal="right"/>
    </xf>
    <xf numFmtId="3" fontId="10" fillId="14" borderId="0" xfId="3" applyNumberFormat="1" applyFont="1" applyFill="1" applyAlignment="1">
      <alignment horizontal="right"/>
    </xf>
    <xf numFmtId="3" fontId="10" fillId="14" borderId="17" xfId="3" applyNumberFormat="1" applyFont="1" applyFill="1" applyBorder="1" applyAlignment="1">
      <alignment horizontal="right"/>
    </xf>
    <xf numFmtId="3" fontId="5" fillId="14" borderId="0" xfId="3" applyNumberFormat="1" applyFont="1" applyFill="1" applyAlignment="1">
      <alignment horizontal="right"/>
    </xf>
    <xf numFmtId="3" fontId="5" fillId="14" borderId="13" xfId="3" applyNumberFormat="1" applyFont="1" applyFill="1" applyBorder="1" applyAlignment="1">
      <alignment horizontal="right"/>
    </xf>
    <xf numFmtId="3" fontId="10" fillId="14" borderId="19" xfId="3" applyNumberFormat="1" applyFont="1" applyFill="1" applyBorder="1" applyAlignment="1">
      <alignment horizontal="right"/>
    </xf>
    <xf numFmtId="9" fontId="5" fillId="14" borderId="0" xfId="2" applyFont="1" applyFill="1" applyBorder="1" applyAlignment="1">
      <alignment horizontal="right"/>
    </xf>
    <xf numFmtId="9" fontId="5" fillId="14" borderId="13" xfId="2" applyFont="1" applyFill="1" applyBorder="1" applyAlignment="1">
      <alignment horizontal="right"/>
    </xf>
    <xf numFmtId="166" fontId="10" fillId="14" borderId="0" xfId="3" applyNumberFormat="1" applyFont="1" applyFill="1" applyAlignment="1">
      <alignment horizontal="right"/>
    </xf>
    <xf numFmtId="166" fontId="10" fillId="14" borderId="13" xfId="3" applyNumberFormat="1" applyFont="1" applyFill="1" applyBorder="1" applyAlignment="1">
      <alignment horizontal="right"/>
    </xf>
    <xf numFmtId="3" fontId="10" fillId="14" borderId="13" xfId="3" applyNumberFormat="1" applyFont="1" applyFill="1" applyBorder="1" applyAlignment="1">
      <alignment horizontal="right"/>
    </xf>
    <xf numFmtId="166" fontId="5" fillId="14" borderId="0" xfId="3" applyNumberFormat="1" applyFont="1" applyFill="1" applyAlignment="1">
      <alignment horizontal="right"/>
    </xf>
    <xf numFmtId="166" fontId="5" fillId="14" borderId="13" xfId="3" applyNumberFormat="1" applyFont="1" applyFill="1" applyBorder="1" applyAlignment="1">
      <alignment horizontal="right"/>
    </xf>
    <xf numFmtId="3" fontId="5" fillId="14" borderId="0" xfId="1" applyNumberFormat="1" applyFont="1" applyFill="1" applyBorder="1" applyAlignment="1">
      <alignment horizontal="right"/>
    </xf>
    <xf numFmtId="3" fontId="5" fillId="14" borderId="13" xfId="1" applyNumberFormat="1" applyFont="1" applyFill="1" applyBorder="1" applyAlignment="1">
      <alignment horizontal="right"/>
    </xf>
    <xf numFmtId="166" fontId="4" fillId="14" borderId="0" xfId="1" quotePrefix="1" applyNumberFormat="1" applyFont="1" applyFill="1" applyBorder="1" applyAlignment="1">
      <alignment horizontal="right"/>
    </xf>
    <xf numFmtId="0" fontId="11" fillId="15" borderId="10" xfId="3" applyFont="1" applyFill="1" applyBorder="1" applyAlignment="1">
      <alignment horizontal="center"/>
    </xf>
    <xf numFmtId="0" fontId="11" fillId="15" borderId="11" xfId="3" applyFont="1" applyFill="1" applyBorder="1" applyAlignment="1">
      <alignment horizontal="center"/>
    </xf>
    <xf numFmtId="9" fontId="5" fillId="14" borderId="17" xfId="2" applyFont="1" applyFill="1" applyBorder="1" applyAlignment="1">
      <alignment horizontal="right"/>
    </xf>
    <xf numFmtId="9" fontId="5" fillId="14" borderId="38" xfId="2" applyFont="1" applyFill="1" applyBorder="1" applyAlignment="1">
      <alignment horizontal="right"/>
    </xf>
    <xf numFmtId="0" fontId="11" fillId="16" borderId="10" xfId="3" applyFont="1" applyFill="1" applyBorder="1" applyAlignment="1">
      <alignment horizontal="center"/>
    </xf>
    <xf numFmtId="0" fontId="11" fillId="16" borderId="11" xfId="3" applyFont="1" applyFill="1" applyBorder="1" applyAlignment="1">
      <alignment horizontal="center"/>
    </xf>
    <xf numFmtId="3" fontId="10" fillId="17" borderId="15" xfId="3" applyNumberFormat="1" applyFont="1" applyFill="1" applyBorder="1" applyAlignment="1">
      <alignment horizontal="right"/>
    </xf>
    <xf numFmtId="3" fontId="10" fillId="17" borderId="0" xfId="3" applyNumberFormat="1" applyFont="1" applyFill="1" applyAlignment="1">
      <alignment horizontal="right"/>
    </xf>
    <xf numFmtId="3" fontId="10" fillId="17" borderId="17" xfId="3" applyNumberFormat="1" applyFont="1" applyFill="1" applyBorder="1" applyAlignment="1">
      <alignment horizontal="right"/>
    </xf>
    <xf numFmtId="3" fontId="5" fillId="17" borderId="0" xfId="3" applyNumberFormat="1" applyFont="1" applyFill="1" applyAlignment="1">
      <alignment horizontal="right"/>
    </xf>
    <xf numFmtId="3" fontId="5" fillId="17" borderId="13" xfId="3" applyNumberFormat="1" applyFont="1" applyFill="1" applyBorder="1" applyAlignment="1">
      <alignment horizontal="right"/>
    </xf>
    <xf numFmtId="3" fontId="10" fillId="17" borderId="19" xfId="3" applyNumberFormat="1" applyFont="1" applyFill="1" applyBorder="1" applyAlignment="1">
      <alignment horizontal="right"/>
    </xf>
    <xf numFmtId="9" fontId="5" fillId="17" borderId="17" xfId="2" applyFont="1" applyFill="1" applyBorder="1" applyAlignment="1">
      <alignment horizontal="right"/>
    </xf>
    <xf numFmtId="166" fontId="10" fillId="17" borderId="0" xfId="3" applyNumberFormat="1" applyFont="1" applyFill="1" applyAlignment="1">
      <alignment horizontal="right"/>
    </xf>
    <xf numFmtId="166" fontId="10" fillId="17" borderId="13" xfId="3" applyNumberFormat="1" applyFont="1" applyFill="1" applyBorder="1" applyAlignment="1">
      <alignment horizontal="right"/>
    </xf>
    <xf numFmtId="3" fontId="10" fillId="17" borderId="13" xfId="3" applyNumberFormat="1" applyFont="1" applyFill="1" applyBorder="1" applyAlignment="1">
      <alignment horizontal="right"/>
    </xf>
    <xf numFmtId="166" fontId="5" fillId="17" borderId="0" xfId="3" applyNumberFormat="1" applyFont="1" applyFill="1" applyAlignment="1">
      <alignment horizontal="right"/>
    </xf>
    <xf numFmtId="166" fontId="5" fillId="17" borderId="13" xfId="3" applyNumberFormat="1" applyFont="1" applyFill="1" applyBorder="1" applyAlignment="1">
      <alignment horizontal="right"/>
    </xf>
    <xf numFmtId="3" fontId="5" fillId="17" borderId="0" xfId="1" applyNumberFormat="1" applyFont="1" applyFill="1" applyBorder="1" applyAlignment="1">
      <alignment horizontal="right"/>
    </xf>
    <xf numFmtId="3" fontId="5" fillId="17" borderId="13" xfId="1" applyNumberFormat="1" applyFont="1" applyFill="1" applyBorder="1" applyAlignment="1">
      <alignment horizontal="right"/>
    </xf>
    <xf numFmtId="9" fontId="5" fillId="17" borderId="0" xfId="2" applyFont="1" applyFill="1" applyBorder="1" applyAlignment="1">
      <alignment horizontal="right"/>
    </xf>
    <xf numFmtId="166" fontId="4" fillId="17" borderId="0" xfId="1" quotePrefix="1" applyNumberFormat="1" applyFont="1" applyFill="1" applyBorder="1" applyAlignment="1">
      <alignment horizontal="right"/>
    </xf>
    <xf numFmtId="166" fontId="6" fillId="10" borderId="0" xfId="3" applyNumberFormat="1" applyFont="1" applyFill="1" applyAlignment="1">
      <alignment horizontal="right"/>
    </xf>
    <xf numFmtId="9" fontId="5" fillId="17" borderId="13" xfId="2" applyFont="1" applyFill="1" applyBorder="1" applyAlignment="1">
      <alignment horizontal="right"/>
    </xf>
    <xf numFmtId="3" fontId="5" fillId="17" borderId="14" xfId="3" applyNumberFormat="1" applyFont="1" applyFill="1" applyBorder="1" applyAlignment="1">
      <alignment horizontal="right"/>
    </xf>
    <xf numFmtId="3" fontId="6" fillId="17" borderId="0" xfId="3" applyNumberFormat="1" applyFont="1" applyFill="1" applyAlignment="1">
      <alignment horizontal="right"/>
    </xf>
    <xf numFmtId="3" fontId="6" fillId="17" borderId="13" xfId="3" applyNumberFormat="1" applyFont="1" applyFill="1" applyBorder="1" applyAlignment="1">
      <alignment horizontal="right"/>
    </xf>
    <xf numFmtId="4" fontId="5" fillId="17" borderId="13" xfId="3" applyNumberFormat="1" applyFont="1" applyFill="1" applyBorder="1" applyAlignment="1">
      <alignment horizontal="right"/>
    </xf>
    <xf numFmtId="4" fontId="5" fillId="17" borderId="14" xfId="3" applyNumberFormat="1" applyFont="1" applyFill="1" applyBorder="1" applyAlignment="1">
      <alignment horizontal="right"/>
    </xf>
    <xf numFmtId="168" fontId="9" fillId="17" borderId="17" xfId="1" applyNumberFormat="1" applyFont="1" applyFill="1" applyBorder="1" applyAlignment="1">
      <alignment horizontal="right"/>
    </xf>
    <xf numFmtId="166" fontId="4" fillId="17" borderId="0" xfId="3" applyNumberFormat="1" applyFont="1" applyFill="1" applyAlignment="1">
      <alignment horizontal="right"/>
    </xf>
    <xf numFmtId="166" fontId="4" fillId="17" borderId="13" xfId="3" applyNumberFormat="1" applyFont="1" applyFill="1" applyBorder="1" applyAlignment="1">
      <alignment horizontal="right"/>
    </xf>
    <xf numFmtId="166" fontId="4" fillId="17" borderId="21" xfId="1" applyNumberFormat="1" applyFont="1" applyFill="1" applyBorder="1" applyAlignment="1">
      <alignment horizontal="right"/>
    </xf>
    <xf numFmtId="166" fontId="4" fillId="17" borderId="14" xfId="1" applyNumberFormat="1" applyFont="1" applyFill="1" applyBorder="1" applyAlignment="1">
      <alignment horizontal="right"/>
    </xf>
    <xf numFmtId="3" fontId="5" fillId="14" borderId="14" xfId="3" applyNumberFormat="1" applyFont="1" applyFill="1" applyBorder="1" applyAlignment="1">
      <alignment horizontal="right"/>
    </xf>
    <xf numFmtId="3" fontId="6" fillId="14" borderId="0" xfId="3" applyNumberFormat="1" applyFont="1" applyFill="1" applyAlignment="1">
      <alignment horizontal="right"/>
    </xf>
    <xf numFmtId="3" fontId="6" fillId="14" borderId="13" xfId="3" applyNumberFormat="1" applyFont="1" applyFill="1" applyBorder="1" applyAlignment="1">
      <alignment horizontal="right"/>
    </xf>
    <xf numFmtId="4" fontId="5" fillId="14" borderId="13" xfId="3" applyNumberFormat="1" applyFont="1" applyFill="1" applyBorder="1" applyAlignment="1">
      <alignment horizontal="right"/>
    </xf>
    <xf numFmtId="4" fontId="5" fillId="14" borderId="14" xfId="3" applyNumberFormat="1" applyFont="1" applyFill="1" applyBorder="1" applyAlignment="1">
      <alignment horizontal="right"/>
    </xf>
    <xf numFmtId="168" fontId="9" fillId="14" borderId="17" xfId="1" applyNumberFormat="1" applyFont="1" applyFill="1" applyBorder="1" applyAlignment="1">
      <alignment horizontal="right"/>
    </xf>
    <xf numFmtId="166" fontId="4" fillId="14" borderId="0" xfId="3" applyNumberFormat="1" applyFont="1" applyFill="1" applyAlignment="1">
      <alignment horizontal="right"/>
    </xf>
    <xf numFmtId="166" fontId="4" fillId="14" borderId="13" xfId="3" applyNumberFormat="1" applyFont="1" applyFill="1" applyBorder="1" applyAlignment="1">
      <alignment horizontal="right"/>
    </xf>
    <xf numFmtId="166" fontId="4" fillId="14" borderId="21" xfId="1" applyNumberFormat="1" applyFont="1" applyFill="1" applyBorder="1" applyAlignment="1">
      <alignment horizontal="right"/>
    </xf>
    <xf numFmtId="166" fontId="4" fillId="14" borderId="14" xfId="1" applyNumberFormat="1" applyFont="1" applyFill="1" applyBorder="1" applyAlignment="1">
      <alignment horizontal="right"/>
    </xf>
    <xf numFmtId="3" fontId="10" fillId="14" borderId="24" xfId="3" applyNumberFormat="1" applyFont="1" applyFill="1" applyBorder="1" applyAlignment="1">
      <alignment horizontal="right"/>
    </xf>
    <xf numFmtId="3" fontId="10" fillId="14" borderId="26" xfId="3" applyNumberFormat="1" applyFont="1" applyFill="1" applyBorder="1" applyAlignment="1">
      <alignment horizontal="right"/>
    </xf>
    <xf numFmtId="3" fontId="5" fillId="14" borderId="0" xfId="2" applyNumberFormat="1" applyFont="1" applyFill="1" applyBorder="1" applyAlignment="1">
      <alignment horizontal="right"/>
    </xf>
    <xf numFmtId="3" fontId="5" fillId="14" borderId="13" xfId="2" applyNumberFormat="1" applyFont="1" applyFill="1" applyBorder="1" applyAlignment="1">
      <alignment horizontal="right"/>
    </xf>
    <xf numFmtId="3" fontId="10" fillId="14" borderId="28" xfId="1" applyNumberFormat="1" applyFont="1" applyFill="1" applyBorder="1" applyAlignment="1">
      <alignment horizontal="right"/>
    </xf>
    <xf numFmtId="3" fontId="10" fillId="14" borderId="26" xfId="1" applyNumberFormat="1" applyFont="1" applyFill="1" applyBorder="1" applyAlignment="1">
      <alignment horizontal="right"/>
    </xf>
    <xf numFmtId="9" fontId="8" fillId="14" borderId="17" xfId="2" applyFont="1" applyFill="1" applyBorder="1" applyAlignment="1">
      <alignment horizontal="right"/>
    </xf>
    <xf numFmtId="3" fontId="8" fillId="14" borderId="13" xfId="2" applyNumberFormat="1" applyFont="1" applyFill="1" applyBorder="1" applyAlignment="1">
      <alignment horizontal="right"/>
    </xf>
    <xf numFmtId="3" fontId="8" fillId="14" borderId="13" xfId="3" applyNumberFormat="1" applyFont="1" applyFill="1" applyBorder="1" applyAlignment="1">
      <alignment horizontal="right"/>
    </xf>
    <xf numFmtId="166" fontId="10" fillId="14" borderId="14" xfId="3" applyNumberFormat="1" applyFont="1" applyFill="1" applyBorder="1" applyAlignment="1">
      <alignment horizontal="right"/>
    </xf>
    <xf numFmtId="3" fontId="10" fillId="14" borderId="26" xfId="2" applyNumberFormat="1" applyFont="1" applyFill="1" applyBorder="1" applyAlignment="1">
      <alignment horizontal="right"/>
    </xf>
    <xf numFmtId="3" fontId="10" fillId="14" borderId="28" xfId="2" applyNumberFormat="1" applyFont="1" applyFill="1" applyBorder="1" applyAlignment="1">
      <alignment horizontal="right"/>
    </xf>
    <xf numFmtId="3" fontId="10" fillId="17" borderId="24" xfId="3" applyNumberFormat="1" applyFont="1" applyFill="1" applyBorder="1" applyAlignment="1">
      <alignment horizontal="right"/>
    </xf>
    <xf numFmtId="3" fontId="10" fillId="17" borderId="26" xfId="3" applyNumberFormat="1" applyFont="1" applyFill="1" applyBorder="1" applyAlignment="1">
      <alignment horizontal="right"/>
    </xf>
    <xf numFmtId="3" fontId="5" fillId="17" borderId="0" xfId="2" applyNumberFormat="1" applyFont="1" applyFill="1" applyBorder="1" applyAlignment="1">
      <alignment horizontal="right"/>
    </xf>
    <xf numFmtId="3" fontId="5" fillId="17" borderId="13" xfId="2" applyNumberFormat="1" applyFont="1" applyFill="1" applyBorder="1" applyAlignment="1">
      <alignment horizontal="right"/>
    </xf>
    <xf numFmtId="3" fontId="10" fillId="17" borderId="28" xfId="1" applyNumberFormat="1" applyFont="1" applyFill="1" applyBorder="1" applyAlignment="1">
      <alignment horizontal="right"/>
    </xf>
    <xf numFmtId="3" fontId="10" fillId="17" borderId="26" xfId="1" applyNumberFormat="1" applyFont="1" applyFill="1" applyBorder="1" applyAlignment="1">
      <alignment horizontal="right"/>
    </xf>
    <xf numFmtId="9" fontId="8" fillId="17" borderId="17" xfId="2" applyFont="1" applyFill="1" applyBorder="1" applyAlignment="1">
      <alignment horizontal="right"/>
    </xf>
    <xf numFmtId="3" fontId="8" fillId="17" borderId="13" xfId="2" applyNumberFormat="1" applyFont="1" applyFill="1" applyBorder="1" applyAlignment="1">
      <alignment horizontal="right"/>
    </xf>
    <xf numFmtId="3" fontId="8" fillId="17" borderId="13" xfId="3" applyNumberFormat="1" applyFont="1" applyFill="1" applyBorder="1" applyAlignment="1">
      <alignment horizontal="right"/>
    </xf>
    <xf numFmtId="3" fontId="8" fillId="17" borderId="0" xfId="3" applyNumberFormat="1" applyFont="1" applyFill="1" applyAlignment="1">
      <alignment horizontal="right"/>
    </xf>
    <xf numFmtId="166" fontId="10" fillId="17" borderId="14" xfId="3" applyNumberFormat="1" applyFont="1" applyFill="1" applyBorder="1" applyAlignment="1">
      <alignment horizontal="right"/>
    </xf>
    <xf numFmtId="0" fontId="12" fillId="17" borderId="0" xfId="0" applyFont="1" applyFill="1"/>
    <xf numFmtId="3" fontId="10" fillId="17" borderId="26" xfId="2" applyNumberFormat="1" applyFont="1" applyFill="1" applyBorder="1" applyAlignment="1">
      <alignment horizontal="right"/>
    </xf>
    <xf numFmtId="3" fontId="10" fillId="17" borderId="28" xfId="2" applyNumberFormat="1" applyFont="1" applyFill="1" applyBorder="1" applyAlignment="1">
      <alignment horizontal="right"/>
    </xf>
    <xf numFmtId="0" fontId="4" fillId="18" borderId="0" xfId="3" quotePrefix="1" applyFont="1" applyFill="1"/>
    <xf numFmtId="166" fontId="4" fillId="18" borderId="0" xfId="1" quotePrefix="1" applyNumberFormat="1" applyFont="1" applyFill="1" applyBorder="1" applyAlignment="1">
      <alignment horizontal="right"/>
    </xf>
    <xf numFmtId="0" fontId="5" fillId="18" borderId="0" xfId="4" applyFill="1"/>
    <xf numFmtId="0" fontId="0" fillId="18" borderId="0" xfId="0" applyFill="1"/>
    <xf numFmtId="168" fontId="0" fillId="18" borderId="0" xfId="1" applyNumberFormat="1" applyFont="1" applyFill="1" applyBorder="1"/>
    <xf numFmtId="0" fontId="5" fillId="18" borderId="0" xfId="4" quotePrefix="1" applyFill="1" applyAlignment="1">
      <alignment horizontal="left" vertical="center" wrapText="1"/>
    </xf>
    <xf numFmtId="0" fontId="10" fillId="7" borderId="21" xfId="10" applyFont="1" applyFill="1" applyBorder="1"/>
    <xf numFmtId="0" fontId="5" fillId="7" borderId="0" xfId="11" applyFont="1" applyFill="1"/>
    <xf numFmtId="0" fontId="5" fillId="7" borderId="0" xfId="10" applyFont="1" applyFill="1" applyAlignment="1">
      <alignment horizontal="left" vertical="center" wrapText="1"/>
    </xf>
    <xf numFmtId="0" fontId="10" fillId="7" borderId="19" xfId="10" applyFont="1" applyFill="1" applyBorder="1" applyAlignment="1">
      <alignment horizontal="left" vertical="center" wrapText="1"/>
    </xf>
    <xf numFmtId="0" fontId="10" fillId="7" borderId="0" xfId="10" applyFont="1" applyFill="1" applyAlignment="1">
      <alignment horizontal="left" vertical="center" wrapText="1"/>
    </xf>
    <xf numFmtId="0" fontId="11" fillId="15" borderId="31" xfId="3" applyFont="1" applyFill="1" applyBorder="1" applyAlignment="1">
      <alignment horizontal="center"/>
    </xf>
    <xf numFmtId="166" fontId="4" fillId="14" borderId="13" xfId="1" quotePrefix="1" applyNumberFormat="1" applyFont="1" applyFill="1" applyBorder="1" applyAlignment="1">
      <alignment horizontal="right"/>
    </xf>
    <xf numFmtId="0" fontId="11" fillId="15" borderId="32" xfId="3" applyFont="1" applyFill="1" applyBorder="1" applyAlignment="1">
      <alignment horizontal="center"/>
    </xf>
    <xf numFmtId="166" fontId="4" fillId="14" borderId="29" xfId="1" quotePrefix="1" applyNumberFormat="1" applyFont="1" applyFill="1" applyBorder="1" applyAlignment="1">
      <alignment horizontal="right"/>
    </xf>
    <xf numFmtId="0" fontId="11" fillId="16" borderId="31" xfId="3" applyFont="1" applyFill="1" applyBorder="1" applyAlignment="1">
      <alignment horizontal="center"/>
    </xf>
    <xf numFmtId="166" fontId="4" fillId="17" borderId="13" xfId="1" quotePrefix="1" applyNumberFormat="1" applyFont="1" applyFill="1" applyBorder="1" applyAlignment="1">
      <alignment horizontal="right"/>
    </xf>
    <xf numFmtId="0" fontId="11" fillId="16" borderId="40" xfId="3" applyFont="1" applyFill="1" applyBorder="1" applyAlignment="1">
      <alignment horizontal="center"/>
    </xf>
    <xf numFmtId="166" fontId="4" fillId="17" borderId="16" xfId="1" quotePrefix="1" applyNumberFormat="1" applyFont="1" applyFill="1" applyBorder="1" applyAlignment="1">
      <alignment horizontal="right"/>
    </xf>
    <xf numFmtId="0" fontId="11" fillId="12" borderId="32" xfId="3" applyFont="1" applyFill="1" applyBorder="1" applyAlignment="1">
      <alignment horizontal="center"/>
    </xf>
    <xf numFmtId="166" fontId="4" fillId="13" borderId="13" xfId="1" quotePrefix="1" applyNumberFormat="1" applyFont="1" applyFill="1" applyBorder="1" applyAlignment="1">
      <alignment horizontal="right"/>
    </xf>
    <xf numFmtId="166" fontId="4" fillId="13" borderId="29" xfId="1" quotePrefix="1" applyNumberFormat="1" applyFont="1" applyFill="1" applyBorder="1" applyAlignment="1">
      <alignment horizontal="right"/>
    </xf>
    <xf numFmtId="166" fontId="4" fillId="4" borderId="13" xfId="1" quotePrefix="1" applyNumberFormat="1" applyFont="1" applyFill="1" applyBorder="1" applyAlignment="1">
      <alignment horizontal="right"/>
    </xf>
    <xf numFmtId="166" fontId="4" fillId="4" borderId="29" xfId="1" quotePrefix="1" applyNumberFormat="1" applyFont="1" applyFill="1" applyBorder="1" applyAlignment="1">
      <alignment horizontal="right"/>
    </xf>
    <xf numFmtId="166" fontId="6" fillId="13" borderId="15" xfId="1" quotePrefix="1" applyNumberFormat="1" applyFont="1" applyFill="1" applyBorder="1" applyAlignment="1">
      <alignment horizontal="right"/>
    </xf>
    <xf numFmtId="166" fontId="6" fillId="13" borderId="37" xfId="1" quotePrefix="1" applyNumberFormat="1" applyFont="1" applyFill="1" applyBorder="1" applyAlignment="1">
      <alignment horizontal="right"/>
    </xf>
    <xf numFmtId="166" fontId="6" fillId="4" borderId="15" xfId="1" quotePrefix="1" applyNumberFormat="1" applyFont="1" applyFill="1" applyBorder="1" applyAlignment="1">
      <alignment horizontal="right"/>
    </xf>
    <xf numFmtId="166" fontId="6" fillId="4" borderId="37" xfId="1" quotePrefix="1" applyNumberFormat="1" applyFont="1" applyFill="1" applyBorder="1" applyAlignment="1">
      <alignment horizontal="right"/>
    </xf>
    <xf numFmtId="166" fontId="6" fillId="14" borderId="15" xfId="1" quotePrefix="1" applyNumberFormat="1" applyFont="1" applyFill="1" applyBorder="1" applyAlignment="1">
      <alignment horizontal="right"/>
    </xf>
    <xf numFmtId="166" fontId="6" fillId="14" borderId="37" xfId="1" quotePrefix="1" applyNumberFormat="1" applyFont="1" applyFill="1" applyBorder="1" applyAlignment="1">
      <alignment horizontal="right"/>
    </xf>
    <xf numFmtId="166" fontId="6" fillId="17" borderId="15" xfId="1" quotePrefix="1" applyNumberFormat="1" applyFont="1" applyFill="1" applyBorder="1" applyAlignment="1">
      <alignment horizontal="right"/>
    </xf>
    <xf numFmtId="166" fontId="6" fillId="17" borderId="18" xfId="1" quotePrefix="1" applyNumberFormat="1" applyFont="1" applyFill="1" applyBorder="1" applyAlignment="1">
      <alignment horizontal="right"/>
    </xf>
    <xf numFmtId="166" fontId="5" fillId="14" borderId="13" xfId="1" quotePrefix="1" applyNumberFormat="1" applyFont="1" applyFill="1" applyBorder="1" applyAlignment="1">
      <alignment horizontal="right"/>
    </xf>
    <xf numFmtId="166" fontId="5" fillId="14" borderId="29" xfId="1" quotePrefix="1" applyNumberFormat="1" applyFont="1" applyFill="1" applyBorder="1" applyAlignment="1">
      <alignment horizontal="right"/>
    </xf>
    <xf numFmtId="166" fontId="5" fillId="17" borderId="13" xfId="1" quotePrefix="1" applyNumberFormat="1" applyFont="1" applyFill="1" applyBorder="1" applyAlignment="1">
      <alignment horizontal="right"/>
    </xf>
    <xf numFmtId="166" fontId="10" fillId="14" borderId="15" xfId="1" quotePrefix="1" applyNumberFormat="1" applyFont="1" applyFill="1" applyBorder="1" applyAlignment="1">
      <alignment horizontal="right"/>
    </xf>
    <xf numFmtId="166" fontId="10" fillId="14" borderId="37" xfId="1" quotePrefix="1" applyNumberFormat="1" applyFont="1" applyFill="1" applyBorder="1" applyAlignment="1">
      <alignment horizontal="right"/>
    </xf>
    <xf numFmtId="166" fontId="10" fillId="17" borderId="15" xfId="1" quotePrefix="1" applyNumberFormat="1" applyFont="1" applyFill="1" applyBorder="1" applyAlignment="1">
      <alignment horizontal="right"/>
    </xf>
    <xf numFmtId="9" fontId="8" fillId="4" borderId="38" xfId="2" applyFont="1" applyFill="1" applyBorder="1" applyAlignment="1">
      <alignment horizontal="right"/>
    </xf>
    <xf numFmtId="3" fontId="8" fillId="4" borderId="29" xfId="2" applyNumberFormat="1" applyFont="1" applyFill="1" applyBorder="1" applyAlignment="1">
      <alignment horizontal="right"/>
    </xf>
    <xf numFmtId="3" fontId="8" fillId="4" borderId="29" xfId="3" applyNumberFormat="1" applyFont="1" applyFill="1" applyBorder="1" applyAlignment="1">
      <alignment horizontal="right"/>
    </xf>
    <xf numFmtId="166" fontId="10" fillId="4" borderId="41" xfId="3" applyNumberFormat="1" applyFont="1" applyFill="1" applyBorder="1" applyAlignment="1">
      <alignment horizontal="right"/>
    </xf>
    <xf numFmtId="3" fontId="8" fillId="17" borderId="29" xfId="3" applyNumberFormat="1" applyFont="1" applyFill="1" applyBorder="1" applyAlignment="1">
      <alignment horizontal="right"/>
    </xf>
    <xf numFmtId="9" fontId="8" fillId="17" borderId="38" xfId="2" applyFont="1" applyFill="1" applyBorder="1" applyAlignment="1">
      <alignment horizontal="right"/>
    </xf>
    <xf numFmtId="3" fontId="8" fillId="17" borderId="29" xfId="2" applyNumberFormat="1" applyFont="1" applyFill="1" applyBorder="1" applyAlignment="1">
      <alignment horizontal="right"/>
    </xf>
    <xf numFmtId="166" fontId="10" fillId="17" borderId="41" xfId="3" applyNumberFormat="1" applyFont="1" applyFill="1" applyBorder="1" applyAlignment="1">
      <alignment horizontal="right"/>
    </xf>
    <xf numFmtId="0" fontId="3" fillId="2" borderId="18" xfId="3" applyFont="1" applyFill="1" applyBorder="1" applyAlignment="1">
      <alignment horizontal="center"/>
    </xf>
    <xf numFmtId="0" fontId="3" fillId="2" borderId="19" xfId="3" applyFont="1" applyFill="1" applyBorder="1" applyAlignment="1">
      <alignment horizontal="center"/>
    </xf>
    <xf numFmtId="0" fontId="3" fillId="2" borderId="37" xfId="3" applyFont="1" applyFill="1" applyBorder="1" applyAlignment="1">
      <alignment horizontal="center"/>
    </xf>
    <xf numFmtId="0" fontId="11" fillId="8" borderId="6" xfId="3" applyFont="1" applyFill="1" applyBorder="1" applyAlignment="1">
      <alignment horizontal="center"/>
    </xf>
    <xf numFmtId="0" fontId="11" fillId="8" borderId="7" xfId="3" applyFont="1" applyFill="1" applyBorder="1" applyAlignment="1">
      <alignment horizontal="center"/>
    </xf>
    <xf numFmtId="0" fontId="11" fillId="3" borderId="5" xfId="3" applyFont="1" applyFill="1" applyBorder="1" applyAlignment="1">
      <alignment horizontal="center"/>
    </xf>
    <xf numFmtId="0" fontId="11" fillId="3" borderId="6" xfId="3" applyFont="1" applyFill="1" applyBorder="1" applyAlignment="1">
      <alignment horizontal="center"/>
    </xf>
    <xf numFmtId="0" fontId="11" fillId="3" borderId="7" xfId="3" applyFont="1" applyFill="1" applyBorder="1" applyAlignment="1">
      <alignment horizontal="center"/>
    </xf>
    <xf numFmtId="0" fontId="11" fillId="5" borderId="5" xfId="3" applyFont="1" applyFill="1" applyBorder="1" applyAlignment="1">
      <alignment horizontal="center"/>
    </xf>
    <xf numFmtId="0" fontId="11" fillId="5" borderId="6" xfId="3" applyFont="1" applyFill="1" applyBorder="1" applyAlignment="1">
      <alignment horizontal="center"/>
    </xf>
    <xf numFmtId="0" fontId="11" fillId="5" borderId="8" xfId="3" applyFont="1" applyFill="1" applyBorder="1" applyAlignment="1">
      <alignment horizontal="center"/>
    </xf>
    <xf numFmtId="0" fontId="11" fillId="8" borderId="5" xfId="3" applyFont="1" applyFill="1" applyBorder="1" applyAlignment="1">
      <alignment horizontal="center"/>
    </xf>
    <xf numFmtId="0" fontId="5" fillId="0" borderId="0" xfId="4" quotePrefix="1" applyAlignment="1">
      <alignment horizontal="left" vertical="center" wrapText="1"/>
    </xf>
    <xf numFmtId="0" fontId="11" fillId="12" borderId="5" xfId="3" applyFont="1" applyFill="1" applyBorder="1" applyAlignment="1">
      <alignment horizontal="center"/>
    </xf>
    <xf numFmtId="0" fontId="11" fillId="12" borderId="6" xfId="3" applyFont="1" applyFill="1" applyBorder="1" applyAlignment="1">
      <alignment horizontal="center"/>
    </xf>
    <xf numFmtId="0" fontId="11" fillId="12" borderId="8" xfId="3" applyFont="1" applyFill="1" applyBorder="1" applyAlignment="1">
      <alignment horizontal="center"/>
    </xf>
    <xf numFmtId="0" fontId="11" fillId="15" borderId="5" xfId="3" applyFont="1" applyFill="1" applyBorder="1" applyAlignment="1">
      <alignment horizontal="center"/>
    </xf>
    <xf numFmtId="0" fontId="11" fillId="15" borderId="6" xfId="3" applyFont="1" applyFill="1" applyBorder="1" applyAlignment="1">
      <alignment horizontal="center"/>
    </xf>
    <xf numFmtId="0" fontId="11" fillId="15" borderId="7" xfId="3" applyFont="1" applyFill="1" applyBorder="1" applyAlignment="1">
      <alignment horizontal="center"/>
    </xf>
    <xf numFmtId="0" fontId="11" fillId="16" borderId="39" xfId="3" applyFont="1" applyFill="1" applyBorder="1" applyAlignment="1">
      <alignment horizontal="center"/>
    </xf>
    <xf numFmtId="0" fontId="11" fillId="16" borderId="0" xfId="3" applyFont="1" applyFill="1" applyAlignment="1">
      <alignment horizontal="center"/>
    </xf>
    <xf numFmtId="0" fontId="5" fillId="18" borderId="0" xfId="4" quotePrefix="1" applyFill="1" applyAlignment="1">
      <alignment horizontal="left" vertical="center" wrapText="1"/>
    </xf>
    <xf numFmtId="0" fontId="5" fillId="0" borderId="0" xfId="4" quotePrefix="1" applyAlignment="1">
      <alignment horizontal="center" vertical="center" wrapText="1"/>
    </xf>
  </cellXfs>
  <cellStyles count="12">
    <cellStyle name="Comma" xfId="1" builtinId="3"/>
    <cellStyle name="Comma 3" xfId="9" xr:uid="{00000000-0005-0000-0000-000001000000}"/>
    <cellStyle name="Normal" xfId="0" builtinId="0"/>
    <cellStyle name="Normal 15" xfId="10" xr:uid="{EDB5D32F-4A67-4887-98D8-FD182456431A}"/>
    <cellStyle name="Normal 2" xfId="4" xr:uid="{00000000-0005-0000-0000-000003000000}"/>
    <cellStyle name="Normal 43" xfId="11" xr:uid="{003BC821-66AE-49E0-B7C7-19A96B62EC31}"/>
    <cellStyle name="Normal_Tables quarterly report 2008" xfId="3" xr:uid="{00000000-0005-0000-0000-000004000000}"/>
    <cellStyle name="Percent" xfId="2" builtinId="5"/>
    <cellStyle name="Q-Free" xfId="7" xr:uid="{00000000-0005-0000-0000-000006000000}"/>
    <cellStyle name="Table figures" xfId="6" xr:uid="{00000000-0005-0000-0000-000007000000}"/>
    <cellStyle name="Tot sum" xfId="8" xr:uid="{00000000-0005-0000-0000-000008000000}"/>
    <cellStyle name="Tusenskille_Tables quarterly report 2008 2" xfId="5" xr:uid="{00000000-0005-0000-0000-000009000000}"/>
  </cellStyles>
  <dxfs count="0"/>
  <tableStyles count="0" defaultTableStyle="TableStyleMedium2" defaultPivotStyle="PivotStyleLight16"/>
  <colors>
    <mruColors>
      <color rgb="FFCBAEE0"/>
      <color rgb="FFB288D2"/>
      <color rgb="FF8C4DBB"/>
      <color rgb="FF66358B"/>
      <color rgb="FFFEB8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69"/>
  <sheetViews>
    <sheetView showGridLines="0" zoomScale="80" zoomScaleNormal="80" zoomScaleSheetLayoutView="80" workbookViewId="0">
      <selection activeCell="E15" sqref="E15"/>
    </sheetView>
  </sheetViews>
  <sheetFormatPr defaultColWidth="9.07421875" defaultRowHeight="14.6"/>
  <cols>
    <col min="1" max="1" width="2.4609375" customWidth="1"/>
    <col min="2" max="2" width="24.84375" customWidth="1"/>
    <col min="3" max="18" width="10.53515625" customWidth="1"/>
    <col min="19" max="19" width="3.07421875" customWidth="1"/>
    <col min="21" max="21" width="3.07421875" customWidth="1"/>
    <col min="23" max="23" width="3.07421875" customWidth="1"/>
    <col min="25" max="25" width="3.07421875" customWidth="1"/>
    <col min="27" max="27" width="5.84375" customWidth="1"/>
    <col min="29" max="29" width="3.07421875" customWidth="1"/>
    <col min="31" max="31" width="3.07421875" customWidth="1"/>
    <col min="32" max="32" width="10.53515625" customWidth="1"/>
    <col min="33" max="33" width="3.07421875" customWidth="1"/>
    <col min="34" max="34" width="10.53515625" customWidth="1"/>
    <col min="35" max="35" width="5.84375" customWidth="1"/>
    <col min="36" max="36" width="9.4609375" customWidth="1"/>
    <col min="37" max="37" width="3.07421875" customWidth="1"/>
    <col min="39" max="39" width="3.07421875" customWidth="1"/>
    <col min="41" max="41" width="3.07421875" customWidth="1"/>
    <col min="43" max="43" width="3.07421875" customWidth="1"/>
  </cols>
  <sheetData>
    <row r="1" spans="2:43" ht="15" thickBot="1"/>
    <row r="2" spans="2:43" ht="15.9" thickBot="1">
      <c r="B2" s="1" t="s">
        <v>88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9"/>
    </row>
    <row r="3" spans="2:43" ht="15.75" customHeight="1" thickBot="1">
      <c r="B3" s="88"/>
      <c r="C3" s="404">
        <v>2016</v>
      </c>
      <c r="D3" s="396"/>
      <c r="E3" s="396"/>
      <c r="F3" s="397"/>
      <c r="G3" s="398">
        <v>2017</v>
      </c>
      <c r="H3" s="399"/>
      <c r="I3" s="399"/>
      <c r="J3" s="400"/>
      <c r="K3" s="401">
        <v>2018</v>
      </c>
      <c r="L3" s="402"/>
      <c r="M3" s="402"/>
      <c r="N3" s="403"/>
      <c r="O3" s="406">
        <v>2019</v>
      </c>
      <c r="P3" s="407"/>
      <c r="Q3" s="407"/>
      <c r="R3" s="408"/>
      <c r="S3" s="10"/>
      <c r="T3" s="393" t="s">
        <v>90</v>
      </c>
      <c r="U3" s="394"/>
      <c r="V3" s="394"/>
      <c r="W3" s="394"/>
      <c r="X3" s="394"/>
      <c r="Y3" s="394"/>
      <c r="Z3" s="395"/>
      <c r="AA3" s="10"/>
      <c r="AB3" s="393" t="s">
        <v>87</v>
      </c>
      <c r="AC3" s="394"/>
      <c r="AD3" s="394"/>
      <c r="AE3" s="394"/>
      <c r="AF3" s="394"/>
      <c r="AG3" s="394"/>
      <c r="AH3" s="395"/>
      <c r="AI3" s="10"/>
      <c r="AJ3" s="393" t="s">
        <v>89</v>
      </c>
      <c r="AK3" s="394"/>
      <c r="AL3" s="394"/>
      <c r="AM3" s="394"/>
      <c r="AN3" s="394"/>
      <c r="AO3" s="394"/>
      <c r="AP3" s="395"/>
      <c r="AQ3" s="10"/>
    </row>
    <row r="4" spans="2:43" ht="15" thickBot="1">
      <c r="B4" s="5" t="s">
        <v>1</v>
      </c>
      <c r="C4" s="98" t="s">
        <v>2</v>
      </c>
      <c r="D4" s="98" t="s">
        <v>3</v>
      </c>
      <c r="E4" s="98" t="s">
        <v>4</v>
      </c>
      <c r="F4" s="99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40" t="s">
        <v>2</v>
      </c>
      <c r="L4" s="40" t="s">
        <v>3</v>
      </c>
      <c r="M4" s="40" t="s">
        <v>4</v>
      </c>
      <c r="N4" s="41" t="s">
        <v>5</v>
      </c>
      <c r="O4" s="177" t="s">
        <v>2</v>
      </c>
      <c r="P4" s="177" t="s">
        <v>3</v>
      </c>
      <c r="Q4" s="177" t="s">
        <v>4</v>
      </c>
      <c r="R4" s="178" t="s">
        <v>5</v>
      </c>
      <c r="T4" s="247">
        <v>2016</v>
      </c>
      <c r="V4" s="248">
        <v>2017</v>
      </c>
      <c r="X4" s="249">
        <v>2018</v>
      </c>
      <c r="Z4" s="250">
        <v>2019</v>
      </c>
      <c r="AA4" s="128"/>
      <c r="AB4" s="247">
        <v>2016</v>
      </c>
      <c r="AD4" s="248">
        <v>2017</v>
      </c>
      <c r="AF4" s="249">
        <v>2018</v>
      </c>
      <c r="AH4" s="250">
        <v>2019</v>
      </c>
      <c r="AI4" s="128"/>
      <c r="AJ4" s="247">
        <v>2016</v>
      </c>
      <c r="AL4" s="248">
        <v>2017</v>
      </c>
      <c r="AN4" s="249">
        <v>2018</v>
      </c>
      <c r="AP4" s="250">
        <v>2019</v>
      </c>
      <c r="AQ4" s="128"/>
    </row>
    <row r="5" spans="2:43">
      <c r="B5" s="46" t="s">
        <v>6</v>
      </c>
      <c r="C5" s="127">
        <f>SUM(Sheet4:Sheet5!C5)</f>
        <v>223258</v>
      </c>
      <c r="D5" s="47">
        <f>SUM(Sheet4:Sheet5!D5)</f>
        <v>250705</v>
      </c>
      <c r="E5" s="47">
        <f>SUM(Sheet4:Sheet5!E5)</f>
        <v>242630</v>
      </c>
      <c r="F5" s="47">
        <f>SUM(Sheet4:Sheet5!F5)</f>
        <v>245724</v>
      </c>
      <c r="G5" s="48">
        <f>SUM(Sheet4:Sheet5!G5)</f>
        <v>201529</v>
      </c>
      <c r="H5" s="48">
        <f>SUM(Sheet4:Sheet5!H5)</f>
        <v>222710</v>
      </c>
      <c r="I5" s="48">
        <f>SUM(Sheet4:Sheet5!I5)</f>
        <v>210378</v>
      </c>
      <c r="J5" s="48">
        <f>SUM(Sheet4:Sheet5!J5)</f>
        <v>254689</v>
      </c>
      <c r="K5" s="49">
        <f>SUM(Sheet4:Sheet5!K5)</f>
        <v>191484</v>
      </c>
      <c r="L5" s="49">
        <f>SUM(Sheet4:Sheet5!L5)</f>
        <v>252632</v>
      </c>
      <c r="M5" s="49">
        <f>SUM(Sheet4:Sheet5!M5)</f>
        <v>203881.65489160217</v>
      </c>
      <c r="N5" s="49">
        <f>SUM(Sheet4:Sheet5!N5)</f>
        <v>212018</v>
      </c>
      <c r="O5" s="180">
        <f>SUM(Sheet4:Sheet5!O5)</f>
        <v>215518</v>
      </c>
      <c r="P5" s="180">
        <f>SUM(Sheet4:Sheet5!P5)</f>
        <v>213512.55126174743</v>
      </c>
      <c r="Q5" s="180">
        <f>SUM(Sheet4:Sheet5!Q5)</f>
        <v>215290</v>
      </c>
      <c r="R5" s="180"/>
      <c r="T5" s="47">
        <f>SUM(C5:F5)</f>
        <v>962317</v>
      </c>
      <c r="V5" s="48">
        <f>SUM(G5:J5)</f>
        <v>889306</v>
      </c>
      <c r="X5" s="49">
        <f>SUM(K5:N5)</f>
        <v>860015.65489160223</v>
      </c>
      <c r="Z5" s="180">
        <f>SUM(O5:R5)</f>
        <v>644320.55126174749</v>
      </c>
      <c r="AA5" s="128"/>
      <c r="AB5" s="47"/>
      <c r="AD5" s="48"/>
      <c r="AF5" s="49"/>
      <c r="AH5" s="180"/>
      <c r="AI5" s="128"/>
      <c r="AJ5" s="47"/>
      <c r="AL5" s="48"/>
      <c r="AN5" s="49"/>
      <c r="AP5" s="180"/>
      <c r="AQ5" s="128"/>
    </row>
    <row r="6" spans="2:43">
      <c r="B6" s="65" t="s">
        <v>7</v>
      </c>
      <c r="C6" s="47">
        <f>SUM(Sheet4:Sheet5!C6)</f>
        <v>0</v>
      </c>
      <c r="D6" s="47">
        <f>SUM(Sheet4:Sheet5!D6)</f>
        <v>0</v>
      </c>
      <c r="E6" s="47">
        <f>SUM(Sheet4:Sheet5!E6)</f>
        <v>0</v>
      </c>
      <c r="F6" s="47">
        <f>SUM(Sheet4:Sheet5!F6)</f>
        <v>0</v>
      </c>
      <c r="G6" s="48">
        <f>SUM(Sheet4:Sheet5!G6)</f>
        <v>0</v>
      </c>
      <c r="H6" s="48">
        <f>SUM(Sheet4:Sheet5!H6)</f>
        <v>0</v>
      </c>
      <c r="I6" s="48">
        <f>SUM(Sheet4:Sheet5!I6)</f>
        <v>0</v>
      </c>
      <c r="J6" s="48">
        <f>SUM(Sheet4:Sheet5!J6)</f>
        <v>0</v>
      </c>
      <c r="K6" s="49">
        <f>SUM(Sheet4:Sheet5!K6)</f>
        <v>0</v>
      </c>
      <c r="L6" s="49">
        <f>SUM(Sheet4:Sheet5!L6)</f>
        <v>0</v>
      </c>
      <c r="M6" s="49">
        <f>SUM(Sheet4:Sheet5!M6)</f>
        <v>0</v>
      </c>
      <c r="N6" s="49">
        <f>SUM(Sheet4:Sheet5!N6)</f>
        <v>0</v>
      </c>
      <c r="O6" s="180">
        <f>SUM(Sheet4:Sheet5!O6)</f>
        <v>0</v>
      </c>
      <c r="P6" s="180">
        <f>SUM(Sheet4:Sheet5!P6)</f>
        <v>0</v>
      </c>
      <c r="Q6" s="180">
        <f>SUM(Sheet4:Sheet5!Q6)</f>
        <v>0</v>
      </c>
      <c r="R6" s="180"/>
      <c r="T6" s="47">
        <f>SUM(C6:F6)</f>
        <v>0</v>
      </c>
      <c r="V6" s="48">
        <f>SUM(G6:J6)</f>
        <v>0</v>
      </c>
      <c r="X6" s="49">
        <f>SUM(K6:N6)</f>
        <v>0</v>
      </c>
      <c r="Z6" s="180">
        <f t="shared" ref="Z6:Z7" si="0">SUM(O6:R6)</f>
        <v>0</v>
      </c>
      <c r="AA6" s="128"/>
      <c r="AB6" s="47"/>
      <c r="AD6" s="48"/>
      <c r="AF6" s="49"/>
      <c r="AH6" s="180"/>
      <c r="AI6" s="128"/>
      <c r="AJ6" s="47"/>
      <c r="AL6" s="48"/>
      <c r="AN6" s="49"/>
      <c r="AP6" s="180"/>
      <c r="AQ6" s="128"/>
    </row>
    <row r="7" spans="2:43">
      <c r="B7" s="106" t="s">
        <v>8</v>
      </c>
      <c r="C7" s="51">
        <f>SUM(Sheet4:Sheet5!C7)</f>
        <v>73124</v>
      </c>
      <c r="D7" s="51">
        <f>SUM(Sheet4:Sheet5!D7)</f>
        <v>88753</v>
      </c>
      <c r="E7" s="51">
        <f>SUM(Sheet4:Sheet5!E7)</f>
        <v>72869</v>
      </c>
      <c r="F7" s="51">
        <f>SUM(Sheet4:Sheet5!F7)</f>
        <v>69812</v>
      </c>
      <c r="G7" s="52">
        <f>SUM(Sheet4:Sheet5!G7)</f>
        <v>50147</v>
      </c>
      <c r="H7" s="52">
        <f>SUM(Sheet4:Sheet5!H7)</f>
        <v>64604</v>
      </c>
      <c r="I7" s="52">
        <f>SUM(Sheet4:Sheet5!I7)</f>
        <v>56166</v>
      </c>
      <c r="J7" s="52">
        <f>SUM(Sheet4:Sheet5!J7)</f>
        <v>65693</v>
      </c>
      <c r="K7" s="53">
        <f>SUM(Sheet4:Sheet5!K7)</f>
        <v>43399</v>
      </c>
      <c r="L7" s="53">
        <f>SUM(Sheet4:Sheet5!L7)</f>
        <v>66072</v>
      </c>
      <c r="M7" s="53">
        <f>SUM(Sheet4:Sheet5!M7)</f>
        <v>51977.518657987013</v>
      </c>
      <c r="N7" s="53">
        <f>SUM(Sheet4:Sheet5!N7)</f>
        <v>66691</v>
      </c>
      <c r="O7" s="204">
        <f>SUM(Sheet4:Sheet5!O7)</f>
        <v>65817</v>
      </c>
      <c r="P7" s="204">
        <f>SUM(Sheet4:Sheet5!P7)</f>
        <v>44802.410881896503</v>
      </c>
      <c r="Q7" s="204">
        <f>SUM(Sheet4:Sheet5!Q7)</f>
        <v>57646.481655791729</v>
      </c>
      <c r="R7" s="204"/>
      <c r="T7" s="51">
        <f>SUM(C7:F7)</f>
        <v>304558</v>
      </c>
      <c r="V7" s="52">
        <f>SUM(G7:J7)</f>
        <v>236610</v>
      </c>
      <c r="X7" s="53">
        <f>SUM(K7:N7)</f>
        <v>228139.51865798701</v>
      </c>
      <c r="Z7" s="180">
        <f t="shared" si="0"/>
        <v>168265.89253768823</v>
      </c>
      <c r="AA7" s="128"/>
      <c r="AB7" s="51"/>
      <c r="AD7" s="52"/>
      <c r="AF7" s="53"/>
      <c r="AH7" s="180"/>
      <c r="AI7" s="128"/>
      <c r="AJ7" s="51"/>
      <c r="AL7" s="52"/>
      <c r="AN7" s="53"/>
      <c r="AP7" s="180"/>
      <c r="AQ7" s="128"/>
    </row>
    <row r="8" spans="2:43">
      <c r="B8" s="91" t="s">
        <v>9</v>
      </c>
      <c r="C8" s="55">
        <f t="shared" ref="C8:N8" si="1">SUM(C5:C7)</f>
        <v>296382</v>
      </c>
      <c r="D8" s="55">
        <f t="shared" si="1"/>
        <v>339458</v>
      </c>
      <c r="E8" s="55">
        <f t="shared" si="1"/>
        <v>315499</v>
      </c>
      <c r="F8" s="55">
        <f t="shared" si="1"/>
        <v>315536</v>
      </c>
      <c r="G8" s="56">
        <f t="shared" si="1"/>
        <v>251676</v>
      </c>
      <c r="H8" s="56">
        <f t="shared" si="1"/>
        <v>287314</v>
      </c>
      <c r="I8" s="56">
        <f t="shared" si="1"/>
        <v>266544</v>
      </c>
      <c r="J8" s="56">
        <f t="shared" si="1"/>
        <v>320382</v>
      </c>
      <c r="K8" s="57">
        <f t="shared" si="1"/>
        <v>234883</v>
      </c>
      <c r="L8" s="57">
        <f t="shared" si="1"/>
        <v>318704</v>
      </c>
      <c r="M8" s="57">
        <f t="shared" si="1"/>
        <v>255859.17354958918</v>
      </c>
      <c r="N8" s="57">
        <f t="shared" si="1"/>
        <v>278709</v>
      </c>
      <c r="O8" s="181">
        <f t="shared" ref="O8" si="2">SUM(O5:O7)</f>
        <v>281335</v>
      </c>
      <c r="P8" s="181">
        <f t="shared" ref="P8:R8" si="3">SUM(P5:P7)</f>
        <v>258314.96214364393</v>
      </c>
      <c r="Q8" s="181">
        <f t="shared" si="3"/>
        <v>272936.48165579175</v>
      </c>
      <c r="R8" s="181">
        <f t="shared" si="3"/>
        <v>0</v>
      </c>
      <c r="T8" s="55">
        <f t="shared" ref="T8:V8" si="4">SUM(T5:T7)</f>
        <v>1266875</v>
      </c>
      <c r="V8" s="56">
        <f t="shared" si="4"/>
        <v>1125916</v>
      </c>
      <c r="X8" s="57">
        <f t="shared" ref="X8" si="5">SUM(X5:X7)</f>
        <v>1088155.1735495892</v>
      </c>
      <c r="Z8" s="181">
        <f>SUM(Z5:Z7)</f>
        <v>812586.44379943574</v>
      </c>
      <c r="AA8" s="128"/>
      <c r="AB8" s="55" t="e">
        <f>SUM('P &amp; L'!#REF!)</f>
        <v>#REF!</v>
      </c>
      <c r="AD8" s="56" t="e">
        <f>SUM('P &amp; L'!#REF!)</f>
        <v>#REF!</v>
      </c>
      <c r="AF8" s="57" t="e">
        <f>SUM('P &amp; L'!#REF!)</f>
        <v>#REF!</v>
      </c>
      <c r="AH8" s="181">
        <f>SUM('P &amp; L'!C5:F5)</f>
        <v>962317</v>
      </c>
      <c r="AI8" s="128"/>
      <c r="AJ8" s="55" t="e">
        <f>T8-AB8</f>
        <v>#REF!</v>
      </c>
      <c r="AL8" s="56" t="e">
        <f>V8-AD8</f>
        <v>#REF!</v>
      </c>
      <c r="AN8" s="57" t="e">
        <f>X8-AF8</f>
        <v>#REF!</v>
      </c>
      <c r="AP8" s="181">
        <f>Z8-AH8</f>
        <v>-149730.55620056426</v>
      </c>
      <c r="AQ8" s="128"/>
    </row>
    <row r="9" spans="2:43">
      <c r="B9" s="62"/>
      <c r="C9" s="43"/>
      <c r="D9" s="114"/>
      <c r="E9" s="100"/>
      <c r="F9" s="114"/>
      <c r="G9" s="63"/>
      <c r="H9" s="115"/>
      <c r="I9" s="63"/>
      <c r="J9" s="115"/>
      <c r="K9" s="64"/>
      <c r="L9" s="111"/>
      <c r="M9" s="64"/>
      <c r="N9" s="111"/>
      <c r="O9" s="195"/>
      <c r="P9" s="195"/>
      <c r="Q9" s="183"/>
      <c r="R9" s="195"/>
      <c r="T9" s="114"/>
      <c r="V9" s="115"/>
      <c r="X9" s="111"/>
      <c r="Z9" s="195"/>
      <c r="AA9" s="128"/>
      <c r="AB9" s="114"/>
      <c r="AD9" s="115"/>
      <c r="AF9" s="111"/>
      <c r="AH9" s="195"/>
      <c r="AI9" s="128"/>
      <c r="AJ9" s="114"/>
      <c r="AL9" s="115"/>
      <c r="AN9" s="111"/>
      <c r="AP9" s="195"/>
      <c r="AQ9" s="128"/>
    </row>
    <row r="10" spans="2:43">
      <c r="B10" s="27" t="s">
        <v>10</v>
      </c>
      <c r="C10" s="47">
        <f>SUM(Sheet4:Sheet5!C10)</f>
        <v>1.6473969755883218</v>
      </c>
      <c r="D10" s="47">
        <f>SUM(Sheet4:Sheet5!D10)</f>
        <v>1.6254991920833841</v>
      </c>
      <c r="E10" s="101">
        <f>SUM(Sheet4:Sheet5!E10)</f>
        <v>1.7259777585444649</v>
      </c>
      <c r="F10" s="47">
        <f>SUM(Sheet4:Sheet5!F10)</f>
        <v>1.6821410521713498</v>
      </c>
      <c r="G10" s="78">
        <f>SUM(Sheet4:Sheet5!G10)</f>
        <v>1.6523013466883689</v>
      </c>
      <c r="H10" s="48">
        <f>SUM(Sheet4:Sheet5!H10)</f>
        <v>1.3199860842778424</v>
      </c>
      <c r="I10" s="78">
        <f>SUM(Sheet4:Sheet5!I10)</f>
        <v>1.7997206603339138</v>
      </c>
      <c r="J10" s="48">
        <f>SUM(Sheet4:Sheet5!J10)</f>
        <v>1.2273844950299224</v>
      </c>
      <c r="K10" s="80">
        <f>SUM(Sheet4:Sheet5!K10)</f>
        <v>2.0925983230172687</v>
      </c>
      <c r="L10" s="49">
        <f>SUM(Sheet4:Sheet5!L10)</f>
        <v>1.2027887399961406</v>
      </c>
      <c r="M10" s="80">
        <f>SUM(Sheet4:Sheet5!M10)</f>
        <v>1.3362270229157889</v>
      </c>
      <c r="N10" s="49">
        <f>SUM(Sheet4:Sheet5!N10)</f>
        <v>1.211435020016169</v>
      </c>
      <c r="O10" s="180">
        <f>SUM(Sheet4:Sheet5!O10)</f>
        <v>1.2886228011134548</v>
      </c>
      <c r="P10" s="180">
        <f>SUM(Sheet4:Sheet5!P10)</f>
        <v>1.3898987648194452</v>
      </c>
      <c r="Q10" s="180">
        <f>SUM(Sheet4:Sheet5!Q10)</f>
        <v>1.3489480227641866</v>
      </c>
      <c r="R10" s="180"/>
      <c r="T10" s="47">
        <f>SUM(C10:F10)</f>
        <v>6.6810149783875206</v>
      </c>
      <c r="V10" s="48">
        <f>SUM(G10:J10)</f>
        <v>5.9993925863300479</v>
      </c>
      <c r="X10" s="49">
        <f>SUM(K10:N10)</f>
        <v>5.8430491059453677</v>
      </c>
      <c r="Z10" s="180">
        <f t="shared" ref="Z10:Z11" si="6">SUM(O10:R10)</f>
        <v>4.0274695886970866</v>
      </c>
      <c r="AA10" s="128"/>
      <c r="AB10" s="47" t="e">
        <f>SUM('P &amp; L'!#REF!)</f>
        <v>#REF!</v>
      </c>
      <c r="AD10" s="48" t="e">
        <f>SUM('P &amp; L'!#REF!)</f>
        <v>#REF!</v>
      </c>
      <c r="AF10" s="49" t="e">
        <f>SUM('P &amp; L'!#REF!)</f>
        <v>#REF!</v>
      </c>
      <c r="AH10" s="180">
        <f>SUM('P &amp; L'!C7:F7)</f>
        <v>304556</v>
      </c>
      <c r="AI10" s="128"/>
      <c r="AJ10" s="47" t="e">
        <f t="shared" ref="AJ10:AJ11" si="7">T10-AB10</f>
        <v>#REF!</v>
      </c>
      <c r="AL10" s="48" t="e">
        <f t="shared" ref="AL10:AL11" si="8">V10-AD10</f>
        <v>#REF!</v>
      </c>
      <c r="AN10" s="49" t="e">
        <f t="shared" ref="AN10:AN11" si="9">X10-AF10</f>
        <v>#REF!</v>
      </c>
      <c r="AP10" s="180">
        <f>Z10-AH10</f>
        <v>-304551.97253041132</v>
      </c>
      <c r="AQ10" s="128"/>
    </row>
    <row r="11" spans="2:43">
      <c r="B11" s="27" t="s">
        <v>113</v>
      </c>
      <c r="C11" s="47">
        <f>SUM(Sheet4:Sheet5!C11)</f>
        <v>0</v>
      </c>
      <c r="D11" s="47">
        <f>SUM(Sheet4:Sheet5!D11)</f>
        <v>0</v>
      </c>
      <c r="E11" s="101">
        <f>SUM(Sheet4:Sheet5!E11)</f>
        <v>0</v>
      </c>
      <c r="F11" s="47">
        <f>SUM(Sheet4:Sheet5!F11)</f>
        <v>0</v>
      </c>
      <c r="G11" s="78">
        <f>SUM(Sheet4:Sheet5!G11)</f>
        <v>0</v>
      </c>
      <c r="H11" s="48">
        <f>SUM(Sheet4:Sheet5!H11)</f>
        <v>0</v>
      </c>
      <c r="I11" s="78">
        <f>SUM(Sheet4:Sheet5!I11)</f>
        <v>0</v>
      </c>
      <c r="J11" s="48">
        <f>SUM(Sheet4:Sheet5!J11)</f>
        <v>0</v>
      </c>
      <c r="K11" s="80">
        <f>SUM(Sheet4:Sheet5!K11)</f>
        <v>0</v>
      </c>
      <c r="L11" s="49">
        <f>SUM(Sheet4:Sheet5!L11)</f>
        <v>0</v>
      </c>
      <c r="M11" s="80">
        <f>SUM(Sheet4:Sheet5!M11)</f>
        <v>0</v>
      </c>
      <c r="N11" s="49">
        <f>SUM(Sheet4:Sheet5!N11)</f>
        <v>0</v>
      </c>
      <c r="O11" s="180">
        <f>SUM(Sheet4:Sheet5!O11)</f>
        <v>0</v>
      </c>
      <c r="P11" s="180">
        <f>SUM(Sheet4:Sheet5!P11)</f>
        <v>0</v>
      </c>
      <c r="Q11" s="180">
        <f>SUM(Sheet4:Sheet5!Q11)</f>
        <v>0</v>
      </c>
      <c r="R11" s="180"/>
      <c r="T11" s="47">
        <f>SUM(C11:F11)</f>
        <v>0</v>
      </c>
      <c r="V11" s="48">
        <f>SUM(G11:J11)</f>
        <v>0</v>
      </c>
      <c r="X11" s="49">
        <f>SUM(K11:N11)</f>
        <v>0</v>
      </c>
      <c r="Z11" s="180">
        <f t="shared" si="6"/>
        <v>0</v>
      </c>
      <c r="AA11" s="128"/>
      <c r="AB11" s="47" t="e">
        <f>SUM('P &amp; L'!#REF!)</f>
        <v>#REF!</v>
      </c>
      <c r="AD11" s="48" t="e">
        <f>SUM('P &amp; L'!#REF!)</f>
        <v>#REF!</v>
      </c>
      <c r="AF11" s="49" t="e">
        <f>SUM('P &amp; L'!#REF!)</f>
        <v>#REF!</v>
      </c>
      <c r="AH11" s="180">
        <f>SUM('P &amp; L'!C8:F8)</f>
        <v>118372</v>
      </c>
      <c r="AI11" s="128"/>
      <c r="AJ11" s="47" t="e">
        <f t="shared" si="7"/>
        <v>#REF!</v>
      </c>
      <c r="AL11" s="48" t="e">
        <f t="shared" si="8"/>
        <v>#REF!</v>
      </c>
      <c r="AN11" s="49" t="e">
        <f t="shared" si="9"/>
        <v>#REF!</v>
      </c>
      <c r="AP11" s="180">
        <f t="shared" ref="AP11" si="10">Z11-AH11</f>
        <v>-118372</v>
      </c>
      <c r="AQ11" s="128"/>
    </row>
    <row r="12" spans="2:43">
      <c r="B12" s="89" t="s">
        <v>12</v>
      </c>
      <c r="C12" s="55">
        <f t="shared" ref="C12:M12" si="11">C8-C10-C11</f>
        <v>296380.3526030244</v>
      </c>
      <c r="D12" s="55">
        <f t="shared" si="11"/>
        <v>339456.3745008079</v>
      </c>
      <c r="E12" s="116">
        <f t="shared" si="11"/>
        <v>315497.27402224147</v>
      </c>
      <c r="F12" s="55">
        <f t="shared" si="11"/>
        <v>315534.31785894785</v>
      </c>
      <c r="G12" s="117">
        <f t="shared" si="11"/>
        <v>251674.34769865332</v>
      </c>
      <c r="H12" s="56">
        <f t="shared" si="11"/>
        <v>287312.6800139157</v>
      </c>
      <c r="I12" s="117">
        <f t="shared" si="11"/>
        <v>266542.20027933968</v>
      </c>
      <c r="J12" s="56">
        <f t="shared" si="11"/>
        <v>320380.77261550497</v>
      </c>
      <c r="K12" s="118">
        <f t="shared" si="11"/>
        <v>234880.90740167699</v>
      </c>
      <c r="L12" s="57">
        <f t="shared" si="11"/>
        <v>318702.79721126001</v>
      </c>
      <c r="M12" s="118">
        <f t="shared" si="11"/>
        <v>255857.83732256625</v>
      </c>
      <c r="N12" s="57">
        <f>N8-N10-N11</f>
        <v>278707.78856497997</v>
      </c>
      <c r="O12" s="181">
        <f>O8-O10-O11</f>
        <v>281333.71137719887</v>
      </c>
      <c r="P12" s="181">
        <f t="shared" ref="P12:Q12" si="12">P8-P10-P11</f>
        <v>258313.57224487912</v>
      </c>
      <c r="Q12" s="218">
        <f t="shared" si="12"/>
        <v>272935.13270776899</v>
      </c>
      <c r="R12" s="181">
        <f>R8-R10-R11</f>
        <v>0</v>
      </c>
      <c r="T12" s="55">
        <f>T8-T10-T11</f>
        <v>1266868.3189850217</v>
      </c>
      <c r="V12" s="56">
        <f t="shared" ref="V12" si="13">V8-V10-V11</f>
        <v>1125910.0006074137</v>
      </c>
      <c r="X12" s="57">
        <f t="shared" ref="X12:Z12" si="14">X8-X10-X11</f>
        <v>1088149.3305004833</v>
      </c>
      <c r="Z12" s="181">
        <f t="shared" si="14"/>
        <v>812582.41632984707</v>
      </c>
      <c r="AA12" s="128"/>
      <c r="AB12" s="55" t="e">
        <f>AB8-AB10-AB11</f>
        <v>#REF!</v>
      </c>
      <c r="AD12" s="56" t="e">
        <f t="shared" ref="AD12" si="15">AD8-AD10-AD11</f>
        <v>#REF!</v>
      </c>
      <c r="AF12" s="57" t="e">
        <f t="shared" ref="AF12:AH12" si="16">AF8-AF10-AF11</f>
        <v>#REF!</v>
      </c>
      <c r="AH12" s="181">
        <f t="shared" si="16"/>
        <v>539389</v>
      </c>
      <c r="AI12" s="128"/>
      <c r="AJ12" s="55" t="e">
        <f>AJ8-AJ10-AJ11</f>
        <v>#REF!</v>
      </c>
      <c r="AL12" s="56" t="e">
        <f t="shared" ref="AL12" si="17">AL8-AL10-AL11</f>
        <v>#REF!</v>
      </c>
      <c r="AN12" s="57" t="e">
        <f t="shared" ref="AN12:AP12" si="18">AN8-AN10-AN11</f>
        <v>#REF!</v>
      </c>
      <c r="AP12" s="181">
        <f t="shared" si="18"/>
        <v>273193.41632984707</v>
      </c>
      <c r="AQ12" s="128"/>
    </row>
    <row r="13" spans="2:43">
      <c r="B13" s="27" t="s">
        <v>13</v>
      </c>
      <c r="C13" s="28">
        <f t="shared" ref="C13:N13" si="19">C12/C8</f>
        <v>0.99999444164296214</v>
      </c>
      <c r="D13" s="28">
        <f t="shared" si="19"/>
        <v>0.99999521148656945</v>
      </c>
      <c r="E13" s="71">
        <f t="shared" si="19"/>
        <v>0.99999452937169842</v>
      </c>
      <c r="F13" s="28">
        <f t="shared" si="19"/>
        <v>0.99999466894093814</v>
      </c>
      <c r="G13" s="29">
        <f t="shared" si="19"/>
        <v>0.99999343480766267</v>
      </c>
      <c r="H13" s="30">
        <f t="shared" si="19"/>
        <v>0.99999540577178869</v>
      </c>
      <c r="I13" s="29">
        <f t="shared" si="19"/>
        <v>0.99999324794157696</v>
      </c>
      <c r="J13" s="30">
        <f t="shared" si="19"/>
        <v>0.99999616899671318</v>
      </c>
      <c r="K13" s="31">
        <f t="shared" si="19"/>
        <v>0.99999109089068594</v>
      </c>
      <c r="L13" s="32">
        <f t="shared" si="19"/>
        <v>0.99999622600048954</v>
      </c>
      <c r="M13" s="31">
        <f t="shared" si="19"/>
        <v>0.99999477749027177</v>
      </c>
      <c r="N13" s="32">
        <f t="shared" si="19"/>
        <v>0.99999565340545149</v>
      </c>
      <c r="O13" s="208">
        <f t="shared" ref="O13" si="20">O12/O8</f>
        <v>0.9999954196143348</v>
      </c>
      <c r="P13" s="208">
        <f t="shared" ref="P13:R13" si="21">P12/P8</f>
        <v>0.99999461936407674</v>
      </c>
      <c r="Q13" s="219">
        <f t="shared" si="21"/>
        <v>0.99999505764852481</v>
      </c>
      <c r="R13" s="208" t="e">
        <f t="shared" si="21"/>
        <v>#DIV/0!</v>
      </c>
      <c r="T13" s="28">
        <f t="shared" ref="T13:V13" si="22">T12/T8</f>
        <v>0.99999472638186215</v>
      </c>
      <c r="V13" s="30">
        <f t="shared" si="22"/>
        <v>0.99999467154513633</v>
      </c>
      <c r="X13" s="32">
        <f t="shared" ref="X13:Z13" si="23">X12/X8</f>
        <v>0.9999946303162931</v>
      </c>
      <c r="Z13" s="208">
        <f t="shared" si="23"/>
        <v>0.99999504364167113</v>
      </c>
      <c r="AA13" s="128"/>
      <c r="AB13" s="28" t="e">
        <f t="shared" ref="AB13" si="24">AB12/AB8</f>
        <v>#REF!</v>
      </c>
      <c r="AD13" s="30" t="e">
        <f t="shared" ref="AD13" si="25">AD12/AD8</f>
        <v>#REF!</v>
      </c>
      <c r="AF13" s="32" t="e">
        <f t="shared" ref="AF13:AH13" si="26">AF12/AF8</f>
        <v>#REF!</v>
      </c>
      <c r="AH13" s="208">
        <f t="shared" si="26"/>
        <v>0.56051072567563498</v>
      </c>
      <c r="AI13" s="128"/>
      <c r="AJ13" s="28" t="e">
        <f t="shared" ref="AJ13" si="27">AJ12/AJ8</f>
        <v>#REF!</v>
      </c>
      <c r="AL13" s="30" t="e">
        <f t="shared" ref="AL13" si="28">AL12/AL8</f>
        <v>#REF!</v>
      </c>
      <c r="AN13" s="32" t="e">
        <f t="shared" ref="AN13:AP13" si="29">AN12/AN8</f>
        <v>#REF!</v>
      </c>
      <c r="AP13" s="208">
        <f t="shared" si="29"/>
        <v>-1.8245668971128657</v>
      </c>
      <c r="AQ13" s="128"/>
    </row>
    <row r="14" spans="2:43">
      <c r="B14" s="90"/>
      <c r="C14" s="66"/>
      <c r="D14" s="66"/>
      <c r="E14" s="96"/>
      <c r="F14" s="66"/>
      <c r="G14" s="67"/>
      <c r="H14" s="68"/>
      <c r="I14" s="67"/>
      <c r="J14" s="68"/>
      <c r="K14" s="69"/>
      <c r="L14" s="70"/>
      <c r="M14" s="69"/>
      <c r="N14" s="70"/>
      <c r="O14" s="221"/>
      <c r="P14" s="221"/>
      <c r="Q14" s="220"/>
      <c r="R14" s="221"/>
      <c r="T14" s="66"/>
      <c r="V14" s="68"/>
      <c r="X14" s="70"/>
      <c r="Z14" s="221"/>
      <c r="AA14" s="128"/>
      <c r="AB14" s="66"/>
      <c r="AD14" s="68"/>
      <c r="AF14" s="70"/>
      <c r="AH14" s="221"/>
      <c r="AI14" s="128"/>
      <c r="AJ14" s="66"/>
      <c r="AL14" s="68"/>
      <c r="AN14" s="70"/>
      <c r="AP14" s="221"/>
      <c r="AQ14" s="128"/>
    </row>
    <row r="15" spans="2:43">
      <c r="B15" s="27" t="s">
        <v>14</v>
      </c>
      <c r="C15" s="47">
        <f>SUM(Sheet4:Sheet5!C15)</f>
        <v>0.18731964708429055</v>
      </c>
      <c r="D15" s="47">
        <f>SUM(Sheet4:Sheet5!D15)</f>
        <v>0.19108160184224657</v>
      </c>
      <c r="E15" s="101">
        <f>SUM(Sheet4:Sheet5!E15)</f>
        <v>0.24356859407310222</v>
      </c>
      <c r="F15" s="47">
        <f>SUM(Sheet4:Sheet5!F15)</f>
        <v>0.14355545773636855</v>
      </c>
      <c r="G15" s="78">
        <f>SUM(Sheet4:Sheet5!G15)</f>
        <v>-0.37474919292140646</v>
      </c>
      <c r="H15" s="48">
        <f>SUM(Sheet4:Sheet5!H15)</f>
        <v>-0.43607218659895253</v>
      </c>
      <c r="I15" s="78">
        <f>SUM(Sheet4:Sheet5!I15)</f>
        <v>0.29443199857218666</v>
      </c>
      <c r="J15" s="48">
        <f>SUM(Sheet4:Sheet5!J15)</f>
        <v>-0.26466810488932824</v>
      </c>
      <c r="K15" s="80">
        <f>SUM(Sheet4:Sheet5!K15)</f>
        <v>-0.49914546877814714</v>
      </c>
      <c r="L15" s="49">
        <f>SUM(Sheet4:Sheet5!L15)</f>
        <v>0.31837549616808852</v>
      </c>
      <c r="M15" s="80">
        <f>SUM(Sheet4:Sheet5!M15)</f>
        <v>0.28344481170791525</v>
      </c>
      <c r="N15" s="49">
        <f>SUM(Sheet4:Sheet5!N15)</f>
        <v>0.27653705794112637</v>
      </c>
      <c r="O15" s="180">
        <f>SUM(Sheet4:Sheet5!O15)</f>
        <v>6.7429685731134892E-2</v>
      </c>
      <c r="P15" s="180">
        <f>SUM(Sheet4:Sheet5!P15)</f>
        <v>0.3562050099127293</v>
      </c>
      <c r="Q15" s="180">
        <f>SUM(Sheet4:Sheet5!Q15)</f>
        <v>0.19471511575713876</v>
      </c>
      <c r="R15" s="180"/>
      <c r="S15" s="12"/>
      <c r="T15" s="47">
        <f>SUM(C15:F15)</f>
        <v>0.765525300736008</v>
      </c>
      <c r="V15" s="48">
        <f>SUM(G15:J15)</f>
        <v>-0.78105748583750056</v>
      </c>
      <c r="X15" s="49">
        <f>SUM(K15:N15)</f>
        <v>0.379211897038983</v>
      </c>
      <c r="Z15" s="180">
        <f>SUM(O15:R15)</f>
        <v>0.61834981140100298</v>
      </c>
      <c r="AA15" s="128"/>
      <c r="AB15" s="47" t="e">
        <f>SUM('P &amp; L'!#REF!)</f>
        <v>#REF!</v>
      </c>
      <c r="AD15" s="48" t="e">
        <f>SUM('P &amp; L'!#REF!)</f>
        <v>#REF!</v>
      </c>
      <c r="AF15" s="49" t="e">
        <f>SUM('P &amp; L'!#REF!)</f>
        <v>#REF!</v>
      </c>
      <c r="AH15" s="180">
        <f>SUM('P &amp; L'!C9:F10)</f>
        <v>466746</v>
      </c>
      <c r="AI15" s="129"/>
      <c r="AJ15" s="47" t="e">
        <f>T15-AB15</f>
        <v>#REF!</v>
      </c>
      <c r="AL15" s="48" t="e">
        <f>V15-AD15</f>
        <v>#REF!</v>
      </c>
      <c r="AN15" s="49" t="e">
        <f>X15-AF15</f>
        <v>#REF!</v>
      </c>
      <c r="AP15" s="180">
        <f>Z15-AH15</f>
        <v>-466745.38165018859</v>
      </c>
      <c r="AQ15" s="128"/>
    </row>
    <row r="16" spans="2:43">
      <c r="B16" s="90"/>
      <c r="C16" s="43"/>
      <c r="D16" s="43"/>
      <c r="E16" s="100"/>
      <c r="F16" s="43"/>
      <c r="G16" s="63"/>
      <c r="H16" s="44"/>
      <c r="I16" s="63"/>
      <c r="J16" s="44"/>
      <c r="K16" s="64"/>
      <c r="L16" s="45"/>
      <c r="M16" s="64"/>
      <c r="N16" s="45"/>
      <c r="O16" s="179"/>
      <c r="P16" s="179"/>
      <c r="Q16" s="183"/>
      <c r="R16" s="179"/>
      <c r="T16" s="43"/>
      <c r="V16" s="44"/>
      <c r="X16" s="45"/>
      <c r="Z16" s="179"/>
      <c r="AA16" s="128"/>
      <c r="AB16" s="43"/>
      <c r="AD16" s="44"/>
      <c r="AF16" s="45"/>
      <c r="AH16" s="179"/>
      <c r="AI16" s="128"/>
      <c r="AJ16" s="43"/>
      <c r="AL16" s="44"/>
      <c r="AN16" s="45"/>
      <c r="AP16" s="179"/>
      <c r="AQ16" s="128"/>
    </row>
    <row r="17" spans="2:43">
      <c r="B17" s="91" t="s">
        <v>15</v>
      </c>
      <c r="C17" s="55">
        <f t="shared" ref="C17:N17" si="30">C12-C15</f>
        <v>296380.16528337728</v>
      </c>
      <c r="D17" s="55">
        <f t="shared" si="30"/>
        <v>339456.18341920606</v>
      </c>
      <c r="E17" s="116">
        <f t="shared" si="30"/>
        <v>315497.03045364737</v>
      </c>
      <c r="F17" s="55">
        <f t="shared" si="30"/>
        <v>315534.17430349009</v>
      </c>
      <c r="G17" s="117">
        <f t="shared" si="30"/>
        <v>251674.72244784623</v>
      </c>
      <c r="H17" s="56">
        <f t="shared" si="30"/>
        <v>287313.11608610232</v>
      </c>
      <c r="I17" s="117">
        <f t="shared" si="30"/>
        <v>266541.90584734111</v>
      </c>
      <c r="J17" s="56">
        <f t="shared" si="30"/>
        <v>320381.03728360985</v>
      </c>
      <c r="K17" s="118">
        <f t="shared" si="30"/>
        <v>234881.40654714577</v>
      </c>
      <c r="L17" s="57">
        <f t="shared" si="30"/>
        <v>318702.47883576382</v>
      </c>
      <c r="M17" s="118">
        <f t="shared" si="30"/>
        <v>255857.55387775454</v>
      </c>
      <c r="N17" s="57">
        <f t="shared" si="30"/>
        <v>278707.51202792203</v>
      </c>
      <c r="O17" s="181">
        <f t="shared" ref="O17" si="31">O12-O15</f>
        <v>281333.64394751313</v>
      </c>
      <c r="P17" s="181">
        <f t="shared" ref="P17:R17" si="32">P12-P15</f>
        <v>258313.21603986921</v>
      </c>
      <c r="Q17" s="218">
        <f t="shared" si="32"/>
        <v>272934.93799265323</v>
      </c>
      <c r="R17" s="181">
        <f t="shared" si="32"/>
        <v>0</v>
      </c>
      <c r="T17" s="55">
        <f t="shared" ref="T17:V17" si="33">T12-T15</f>
        <v>1266867.5534597209</v>
      </c>
      <c r="V17" s="56">
        <f t="shared" si="33"/>
        <v>1125910.7816648996</v>
      </c>
      <c r="X17" s="57">
        <f t="shared" ref="X17:Z17" si="34">X12-X15</f>
        <v>1088148.9512885862</v>
      </c>
      <c r="Z17" s="181">
        <f t="shared" si="34"/>
        <v>812581.79798003566</v>
      </c>
      <c r="AA17" s="128"/>
      <c r="AB17" s="55" t="e">
        <f t="shared" ref="AB17" si="35">AB12-AB15</f>
        <v>#REF!</v>
      </c>
      <c r="AD17" s="56" t="e">
        <f t="shared" ref="AD17" si="36">AD12-AD15</f>
        <v>#REF!</v>
      </c>
      <c r="AF17" s="57" t="e">
        <f t="shared" ref="AF17:AH17" si="37">AF12-AF15</f>
        <v>#REF!</v>
      </c>
      <c r="AH17" s="181">
        <f t="shared" si="37"/>
        <v>72643</v>
      </c>
      <c r="AI17" s="128"/>
      <c r="AJ17" s="55" t="e">
        <f t="shared" ref="AJ17" si="38">AJ12-AJ15</f>
        <v>#REF!</v>
      </c>
      <c r="AL17" s="56" t="e">
        <f t="shared" ref="AL17" si="39">AL12-AL15</f>
        <v>#REF!</v>
      </c>
      <c r="AN17" s="57" t="e">
        <f t="shared" ref="AN17:AP17" si="40">AN12-AN15</f>
        <v>#REF!</v>
      </c>
      <c r="AP17" s="181">
        <f t="shared" si="40"/>
        <v>739938.79798003566</v>
      </c>
      <c r="AQ17" s="128"/>
    </row>
    <row r="18" spans="2:43">
      <c r="B18" s="27" t="s">
        <v>16</v>
      </c>
      <c r="C18" s="28">
        <f t="shared" ref="C18:N18" si="41">C17/C8</f>
        <v>0.99999380962196516</v>
      </c>
      <c r="D18" s="28">
        <f t="shared" si="41"/>
        <v>0.99999464858452614</v>
      </c>
      <c r="E18" s="71">
        <f t="shared" si="41"/>
        <v>0.99999375736102925</v>
      </c>
      <c r="F18" s="28">
        <f t="shared" si="41"/>
        <v>0.99999421398347599</v>
      </c>
      <c r="G18" s="29">
        <f t="shared" si="41"/>
        <v>0.99999492382208166</v>
      </c>
      <c r="H18" s="30">
        <f t="shared" si="41"/>
        <v>0.99999692352653302</v>
      </c>
      <c r="I18" s="29">
        <f t="shared" si="41"/>
        <v>0.99999214331345332</v>
      </c>
      <c r="J18" s="30">
        <f t="shared" si="41"/>
        <v>0.99999699509838214</v>
      </c>
      <c r="K18" s="31">
        <f t="shared" si="41"/>
        <v>0.99999321597197655</v>
      </c>
      <c r="L18" s="32">
        <f t="shared" si="41"/>
        <v>0.99999522703123844</v>
      </c>
      <c r="M18" s="31">
        <f t="shared" si="41"/>
        <v>0.99999366967456293</v>
      </c>
      <c r="N18" s="32">
        <f t="shared" si="41"/>
        <v>0.99999466119831804</v>
      </c>
      <c r="O18" s="208">
        <f t="shared" ref="O18" si="42">O17/O8</f>
        <v>0.99999517993677689</v>
      </c>
      <c r="P18" s="208">
        <f t="shared" ref="P18:R18" si="43">P17/P8</f>
        <v>0.99999324040791038</v>
      </c>
      <c r="Q18" s="219">
        <f t="shared" si="43"/>
        <v>0.99999434424035527</v>
      </c>
      <c r="R18" s="208" t="e">
        <f t="shared" si="43"/>
        <v>#DIV/0!</v>
      </c>
      <c r="T18" s="28">
        <f t="shared" ref="T18:V18" si="44">T17/T8</f>
        <v>0.99999412211916794</v>
      </c>
      <c r="V18" s="30">
        <f t="shared" si="44"/>
        <v>0.9999953652536242</v>
      </c>
      <c r="X18" s="32">
        <f t="shared" ref="X18:Z18" si="45">X17/X8</f>
        <v>0.99999428182564931</v>
      </c>
      <c r="Z18" s="208">
        <f t="shared" si="45"/>
        <v>0.9999942826767102</v>
      </c>
      <c r="AA18" s="128"/>
      <c r="AB18" s="28" t="e">
        <f t="shared" ref="AB18" si="46">AB17/AB8</f>
        <v>#REF!</v>
      </c>
      <c r="AD18" s="30" t="e">
        <f t="shared" ref="AD18" si="47">AD17/AD8</f>
        <v>#REF!</v>
      </c>
      <c r="AF18" s="32" t="e">
        <f t="shared" ref="AF18:AH18" si="48">AF17/AF8</f>
        <v>#REF!</v>
      </c>
      <c r="AH18" s="208">
        <f t="shared" si="48"/>
        <v>7.5487599200679198E-2</v>
      </c>
      <c r="AI18" s="128"/>
      <c r="AJ18" s="28" t="e">
        <f t="shared" ref="AJ18" si="49">AJ17/AJ8</f>
        <v>#REF!</v>
      </c>
      <c r="AL18" s="30" t="e">
        <f t="shared" ref="AL18" si="50">AL17/AL8</f>
        <v>#REF!</v>
      </c>
      <c r="AN18" s="32" t="e">
        <f t="shared" ref="AN18:AP18" si="51">AN17/AN8</f>
        <v>#REF!</v>
      </c>
      <c r="AP18" s="208">
        <f t="shared" si="51"/>
        <v>-4.9418022396770285</v>
      </c>
      <c r="AQ18" s="128"/>
    </row>
    <row r="19" spans="2:43">
      <c r="B19" s="92"/>
      <c r="C19" s="21"/>
      <c r="D19" s="21"/>
      <c r="E19" s="97"/>
      <c r="F19" s="21"/>
      <c r="G19" s="22"/>
      <c r="H19" s="23"/>
      <c r="I19" s="22"/>
      <c r="J19" s="23"/>
      <c r="K19" s="24"/>
      <c r="L19" s="25"/>
      <c r="M19" s="24"/>
      <c r="N19" s="25"/>
      <c r="O19" s="223"/>
      <c r="P19" s="223"/>
      <c r="Q19" s="222"/>
      <c r="R19" s="223"/>
      <c r="T19" s="21"/>
      <c r="V19" s="23"/>
      <c r="X19" s="25"/>
      <c r="Z19" s="223"/>
      <c r="AA19" s="128"/>
      <c r="AB19" s="21"/>
      <c r="AD19" s="23"/>
      <c r="AF19" s="25"/>
      <c r="AH19" s="223"/>
      <c r="AI19" s="128"/>
      <c r="AJ19" s="21"/>
      <c r="AL19" s="23"/>
      <c r="AN19" s="25"/>
      <c r="AP19" s="223"/>
      <c r="AQ19" s="128"/>
    </row>
    <row r="20" spans="2:43">
      <c r="B20" s="27" t="s">
        <v>17</v>
      </c>
      <c r="C20" s="81">
        <f>SUM(Sheet4:Sheet5!C20)</f>
        <v>-1552</v>
      </c>
      <c r="D20" s="81">
        <f>SUM(Sheet4:Sheet5!D20)</f>
        <v>12386</v>
      </c>
      <c r="E20" s="102">
        <f>SUM(Sheet4:Sheet5!E20)</f>
        <v>21178</v>
      </c>
      <c r="F20" s="81">
        <f>SUM(Sheet4:Sheet5!F20)</f>
        <v>-58613</v>
      </c>
      <c r="G20" s="82">
        <f>SUM(Sheet4:Sheet5!G20)</f>
        <v>-14056</v>
      </c>
      <c r="H20" s="83">
        <f>SUM(Sheet4:Sheet5!H20)</f>
        <v>17565</v>
      </c>
      <c r="I20" s="82">
        <f>SUM(Sheet4:Sheet5!I20)</f>
        <v>24318</v>
      </c>
      <c r="J20" s="83">
        <f>SUM(Sheet4:Sheet5!J20)</f>
        <v>-7697</v>
      </c>
      <c r="K20" s="79">
        <f>SUM(Sheet4:Sheet5!K20)</f>
        <v>7988</v>
      </c>
      <c r="L20" s="112">
        <f>SUM(Sheet4:Sheet5!L20)</f>
        <v>29367</v>
      </c>
      <c r="M20" s="79">
        <f>SUM(Sheet4:Sheet5!M20)</f>
        <v>20637.600027278277</v>
      </c>
      <c r="N20" s="119">
        <f>SUM(Sheet4:Sheet5!N20)</f>
        <v>18427</v>
      </c>
      <c r="O20" s="198">
        <f>SUM(Sheet4:Sheet5!O20)</f>
        <v>6816</v>
      </c>
      <c r="P20" s="198">
        <f>SUM(Sheet4:Sheet5!P20)</f>
        <v>25154.809089811177</v>
      </c>
      <c r="Q20" s="198">
        <f>SUM(Sheet4:Sheet5!Q20)</f>
        <v>13096.883922707804</v>
      </c>
      <c r="R20" s="198"/>
      <c r="T20" s="81">
        <f>SUM(C20:F20)</f>
        <v>-26601</v>
      </c>
      <c r="V20" s="83">
        <f>SUM(G20:J20)</f>
        <v>20130</v>
      </c>
      <c r="X20" s="119">
        <f>SUM(K20:N20)</f>
        <v>76419.600027278269</v>
      </c>
      <c r="Z20" s="180">
        <f t="shared" ref="Z20:Z21" si="52">SUM(O20:R20)</f>
        <v>45067.693012518983</v>
      </c>
      <c r="AA20" s="128"/>
      <c r="AB20" s="81" t="e">
        <f>SUM('P &amp; L'!#REF!)</f>
        <v>#REF!</v>
      </c>
      <c r="AD20" s="83" t="e">
        <f>SUM('P &amp; L'!#REF!)</f>
        <v>#REF!</v>
      </c>
      <c r="AF20" s="119" t="e">
        <f>SUM('P &amp; L'!#REF!)</f>
        <v>#REF!</v>
      </c>
      <c r="AH20" s="180">
        <f>SUM('P &amp; L'!C15:F16)</f>
        <v>100575</v>
      </c>
      <c r="AI20" s="128"/>
      <c r="AJ20" s="81" t="e">
        <f>SUM(T20:T22)-AB20</f>
        <v>#REF!</v>
      </c>
      <c r="AL20" s="83" t="e">
        <f>SUM(V20:V22)-AD20</f>
        <v>#REF!</v>
      </c>
      <c r="AN20" s="119" t="e">
        <f>SUM(X20:X22)-AF20</f>
        <v>#REF!</v>
      </c>
      <c r="AP20" s="180">
        <f>SUM(Z20:Z22)-AH20</f>
        <v>-55507.051541529916</v>
      </c>
      <c r="AQ20" s="128"/>
    </row>
    <row r="21" spans="2:43">
      <c r="B21" s="27" t="s">
        <v>18</v>
      </c>
      <c r="C21" s="81">
        <f>SUM(Sheet4:Sheet5!C21)</f>
        <v>-0.12292690017127963</v>
      </c>
      <c r="D21" s="81">
        <f>SUM(Sheet4:Sheet5!D21)</f>
        <v>-9.7545387278765966E-2</v>
      </c>
      <c r="E21" s="81">
        <f>SUM(Sheet4:Sheet5!E21)</f>
        <v>-3.8381806773530328E-2</v>
      </c>
      <c r="F21" s="81">
        <f>SUM(Sheet4:Sheet5!F21)</f>
        <v>-1.7068396480547938</v>
      </c>
      <c r="G21" s="82">
        <f>SUM(Sheet4:Sheet5!G21)</f>
        <v>-0.58978827265557343</v>
      </c>
      <c r="H21" s="83">
        <f>SUM(Sheet4:Sheet5!H21)</f>
        <v>-0.63134534330014502</v>
      </c>
      <c r="I21" s="83">
        <f>SUM(Sheet4:Sheet5!I21)</f>
        <v>0.13430473774623095</v>
      </c>
      <c r="J21" s="83">
        <f>SUM(Sheet4:Sheet5!J21)</f>
        <v>-2.1942555437232487</v>
      </c>
      <c r="K21" s="79">
        <f>SUM(Sheet4:Sheet5!K21)</f>
        <v>-0.6833586604290387</v>
      </c>
      <c r="L21" s="112">
        <f>SUM(Sheet4:Sheet5!L21)</f>
        <v>0.20082150467070006</v>
      </c>
      <c r="M21" s="79">
        <f>SUM(Sheet4:Sheet5!M21)</f>
        <v>0.13989353814708516</v>
      </c>
      <c r="N21" s="119">
        <f>SUM(Sheet4:Sheet5!N21)</f>
        <v>0.14116466400711861</v>
      </c>
      <c r="O21" s="198">
        <f>SUM(Sheet4:Sheet5!O21)</f>
        <v>-6.5367695499445086E-2</v>
      </c>
      <c r="P21" s="198">
        <f>SUM(Sheet4:Sheet5!P21)</f>
        <v>0.23546114699605611</v>
      </c>
      <c r="Q21" s="198">
        <f>SUM(Sheet4:Sheet5!Q21)</f>
        <v>8.5352499605334212E-2</v>
      </c>
      <c r="R21" s="198"/>
      <c r="T21" s="81">
        <f>SUM(C21:F21)</f>
        <v>-1.9656937422783698</v>
      </c>
      <c r="V21" s="83">
        <f>SUM(G21:J21)</f>
        <v>-3.2810844219327362</v>
      </c>
      <c r="X21" s="119">
        <f>SUM(K21:N21)</f>
        <v>-0.2014789536041349</v>
      </c>
      <c r="Z21" s="180">
        <f t="shared" si="52"/>
        <v>0.25544595110194523</v>
      </c>
      <c r="AA21" s="128"/>
      <c r="AB21" s="81"/>
      <c r="AD21" s="83"/>
      <c r="AF21" s="119"/>
      <c r="AH21" s="180"/>
      <c r="AI21" s="128"/>
      <c r="AJ21" s="81"/>
      <c r="AL21" s="83"/>
      <c r="AN21" s="119"/>
      <c r="AP21" s="180"/>
      <c r="AQ21" s="128"/>
    </row>
    <row r="22" spans="2:43">
      <c r="B22" s="27" t="s">
        <v>19</v>
      </c>
      <c r="C22" s="81">
        <f>SUM(Sheet4:Sheet5!C22)</f>
        <v>0</v>
      </c>
      <c r="D22" s="81">
        <f>SUM(Sheet4:Sheet5!D22)</f>
        <v>0</v>
      </c>
      <c r="E22" s="81">
        <f>SUM(Sheet4:Sheet5!E22)</f>
        <v>0</v>
      </c>
      <c r="F22" s="81">
        <f>SUM(Sheet4:Sheet5!F22)</f>
        <v>0</v>
      </c>
      <c r="G22" s="82">
        <f>SUM(Sheet4:Sheet5!G22)</f>
        <v>0</v>
      </c>
      <c r="H22" s="83">
        <f>SUM(Sheet4:Sheet5!H22)</f>
        <v>0</v>
      </c>
      <c r="I22" s="83">
        <f>SUM(Sheet4:Sheet5!I22)</f>
        <v>0</v>
      </c>
      <c r="J22" s="83">
        <f>SUM(Sheet4:Sheet5!J22)</f>
        <v>0</v>
      </c>
      <c r="K22" s="79">
        <f>SUM(Sheet4:Sheet5!K22)</f>
        <v>0</v>
      </c>
      <c r="L22" s="112">
        <f>SUM(Sheet4:Sheet5!L22)</f>
        <v>0</v>
      </c>
      <c r="M22" s="79">
        <f>SUM(Sheet4:Sheet5!M22)</f>
        <v>0</v>
      </c>
      <c r="N22" s="119">
        <f>SUM(Sheet4:Sheet5!N22)</f>
        <v>0</v>
      </c>
      <c r="O22" s="198">
        <f>SUM(Sheet4:Sheet5!O22)</f>
        <v>0</v>
      </c>
      <c r="P22" s="198">
        <f>SUM(Sheet4:Sheet5!P22)</f>
        <v>0</v>
      </c>
      <c r="Q22" s="198">
        <f>SUM(Sheet4:Sheet5!Q22)</f>
        <v>0</v>
      </c>
      <c r="R22" s="198"/>
      <c r="T22" s="81">
        <f>SUM(C22:F22)</f>
        <v>0</v>
      </c>
      <c r="V22" s="83">
        <f>SUM(G22:J22)</f>
        <v>0</v>
      </c>
      <c r="X22" s="119">
        <f>SUM(K22:N22)</f>
        <v>0</v>
      </c>
      <c r="Z22" s="180">
        <f>SUM(O22:R22)</f>
        <v>0</v>
      </c>
      <c r="AA22" s="128"/>
      <c r="AB22" s="81"/>
      <c r="AD22" s="83"/>
      <c r="AF22" s="119"/>
      <c r="AH22" s="180"/>
      <c r="AI22" s="128"/>
      <c r="AJ22" s="81"/>
      <c r="AL22" s="83"/>
      <c r="AN22" s="119"/>
      <c r="AP22" s="180"/>
      <c r="AQ22" s="128"/>
    </row>
    <row r="23" spans="2:43">
      <c r="B23" s="93"/>
      <c r="C23" s="81"/>
      <c r="D23" s="81"/>
      <c r="E23" s="102"/>
      <c r="F23" s="81"/>
      <c r="G23" s="82"/>
      <c r="H23" s="83"/>
      <c r="I23" s="82"/>
      <c r="J23" s="83"/>
      <c r="K23" s="79"/>
      <c r="L23" s="112"/>
      <c r="M23" s="79"/>
      <c r="N23" s="119"/>
      <c r="O23" s="198"/>
      <c r="P23" s="196"/>
      <c r="Q23" s="190"/>
      <c r="R23" s="198"/>
      <c r="T23" s="81"/>
      <c r="V23" s="83"/>
      <c r="X23" s="119"/>
      <c r="Z23" s="198"/>
      <c r="AA23" s="128"/>
      <c r="AB23" s="81"/>
      <c r="AD23" s="83"/>
      <c r="AF23" s="119"/>
      <c r="AH23" s="198"/>
      <c r="AI23" s="128"/>
      <c r="AJ23" s="81"/>
      <c r="AL23" s="83"/>
      <c r="AN23" s="119"/>
      <c r="AP23" s="198"/>
      <c r="AQ23" s="128"/>
    </row>
    <row r="24" spans="2:43">
      <c r="B24" s="91" t="s">
        <v>20</v>
      </c>
      <c r="C24" s="55">
        <f>C17-C20-C21-C22</f>
        <v>297932.28821027745</v>
      </c>
      <c r="D24" s="55">
        <f t="shared" ref="D24:F24" si="53">D17-D20-D21-D22</f>
        <v>327070.28096459334</v>
      </c>
      <c r="E24" s="116">
        <f t="shared" si="53"/>
        <v>294319.06883545412</v>
      </c>
      <c r="F24" s="55">
        <f t="shared" si="53"/>
        <v>374148.88114313816</v>
      </c>
      <c r="G24" s="117">
        <f>G17-G20-G21-G22</f>
        <v>265731.31223611883</v>
      </c>
      <c r="H24" s="56">
        <f t="shared" ref="H24:N24" si="54">H17-H20-H21-H22</f>
        <v>269748.74743144563</v>
      </c>
      <c r="I24" s="117">
        <f t="shared" si="54"/>
        <v>242223.77154260335</v>
      </c>
      <c r="J24" s="56">
        <f t="shared" si="54"/>
        <v>328080.23153915355</v>
      </c>
      <c r="K24" s="118">
        <f t="shared" si="54"/>
        <v>226894.08990580621</v>
      </c>
      <c r="L24" s="57">
        <f t="shared" si="54"/>
        <v>289335.27801425912</v>
      </c>
      <c r="M24" s="118">
        <f t="shared" si="54"/>
        <v>235219.81395693813</v>
      </c>
      <c r="N24" s="57">
        <f t="shared" si="54"/>
        <v>260280.37086325802</v>
      </c>
      <c r="O24" s="181">
        <f t="shared" ref="O24" si="55">O17-O20-O21-O22</f>
        <v>274517.70931520866</v>
      </c>
      <c r="P24" s="181">
        <f t="shared" ref="P24:R24" si="56">P17-P20-P21-P22</f>
        <v>233158.17148891103</v>
      </c>
      <c r="Q24" s="218">
        <f t="shared" si="56"/>
        <v>259837.96871744582</v>
      </c>
      <c r="R24" s="181">
        <f t="shared" si="56"/>
        <v>0</v>
      </c>
      <c r="T24" s="55">
        <f t="shared" ref="T24:V24" si="57">T17-T20-T21-T22</f>
        <v>1293470.5191534632</v>
      </c>
      <c r="V24" s="56">
        <f t="shared" si="57"/>
        <v>1105784.0627493216</v>
      </c>
      <c r="X24" s="57">
        <f t="shared" ref="X24:Z24" si="58">X17-X20-X21-X22</f>
        <v>1011729.5527402615</v>
      </c>
      <c r="Z24" s="181">
        <f t="shared" si="58"/>
        <v>767513.84952156548</v>
      </c>
      <c r="AA24" s="128"/>
      <c r="AB24" s="55" t="e">
        <f t="shared" ref="AB24" si="59">AB17-AB20-AB21-AB22</f>
        <v>#REF!</v>
      </c>
      <c r="AD24" s="56" t="e">
        <f t="shared" ref="AD24" si="60">AD17-AD20-AD21-AD22</f>
        <v>#REF!</v>
      </c>
      <c r="AF24" s="57" t="e">
        <f t="shared" ref="AF24:AH24" si="61">AF17-AF20-AF21-AF22</f>
        <v>#REF!</v>
      </c>
      <c r="AH24" s="181">
        <f t="shared" si="61"/>
        <v>-27932</v>
      </c>
      <c r="AI24" s="128"/>
      <c r="AJ24" s="55" t="e">
        <f t="shared" ref="AJ24" si="62">AJ17-AJ20-AJ21-AJ22</f>
        <v>#REF!</v>
      </c>
      <c r="AL24" s="56" t="e">
        <f t="shared" ref="AL24" si="63">AL17-AL20-AL21-AL22</f>
        <v>#REF!</v>
      </c>
      <c r="AN24" s="57" t="e">
        <f t="shared" ref="AN24:AP24" si="64">AN17-AN20-AN21-AN22</f>
        <v>#REF!</v>
      </c>
      <c r="AP24" s="181">
        <f t="shared" si="64"/>
        <v>795445.8495215656</v>
      </c>
      <c r="AQ24" s="128"/>
    </row>
    <row r="25" spans="2:43">
      <c r="B25" s="27" t="s">
        <v>21</v>
      </c>
      <c r="C25" s="71">
        <f>C24/C8</f>
        <v>1.0052307097268978</v>
      </c>
      <c r="D25" s="71">
        <f t="shared" ref="D25:F25" si="65">D24/D8</f>
        <v>0.96350735868529636</v>
      </c>
      <c r="E25" s="71">
        <f t="shared" si="65"/>
        <v>0.93286846815823221</v>
      </c>
      <c r="F25" s="71">
        <f t="shared" si="65"/>
        <v>1.185756557550131</v>
      </c>
      <c r="G25" s="29">
        <f>G24/G8</f>
        <v>1.0558468516510069</v>
      </c>
      <c r="H25" s="29">
        <f t="shared" ref="H25:N25" si="66">H24/H8</f>
        <v>0.93886391693911764</v>
      </c>
      <c r="I25" s="29">
        <f t="shared" si="66"/>
        <v>0.90875717158369107</v>
      </c>
      <c r="J25" s="29">
        <f t="shared" si="66"/>
        <v>1.0240282897889192</v>
      </c>
      <c r="K25" s="31">
        <f t="shared" si="66"/>
        <v>0.96598770411569257</v>
      </c>
      <c r="L25" s="31">
        <f t="shared" si="66"/>
        <v>0.90784953440891591</v>
      </c>
      <c r="M25" s="31">
        <f t="shared" si="66"/>
        <v>0.91933312647611265</v>
      </c>
      <c r="N25" s="31">
        <f t="shared" si="66"/>
        <v>0.93387860048745475</v>
      </c>
      <c r="O25" s="219">
        <f t="shared" ref="O25" si="67">O24/O8</f>
        <v>0.97576806766029345</v>
      </c>
      <c r="P25" s="219">
        <f t="shared" ref="P25:R25" si="68">P24/P8</f>
        <v>0.90261194920353205</v>
      </c>
      <c r="Q25" s="219">
        <f t="shared" si="68"/>
        <v>0.95200893314487411</v>
      </c>
      <c r="R25" s="219" t="e">
        <f t="shared" si="68"/>
        <v>#DIV/0!</v>
      </c>
      <c r="T25" s="71">
        <f t="shared" ref="T25:V25" si="69">T24/T8</f>
        <v>1.0209930096919295</v>
      </c>
      <c r="V25" s="29">
        <f t="shared" si="69"/>
        <v>0.98211950336376919</v>
      </c>
      <c r="X25" s="31">
        <f t="shared" ref="X25:Z25" si="70">X24/X8</f>
        <v>0.9297658802098735</v>
      </c>
      <c r="Z25" s="219">
        <f t="shared" si="70"/>
        <v>0.9445319391902196</v>
      </c>
      <c r="AA25" s="128"/>
      <c r="AB25" s="71" t="e">
        <f t="shared" ref="AB25" si="71">AB24/AB8</f>
        <v>#REF!</v>
      </c>
      <c r="AD25" s="29" t="e">
        <f t="shared" ref="AD25" si="72">AD24/AD8</f>
        <v>#REF!</v>
      </c>
      <c r="AF25" s="31" t="e">
        <f t="shared" ref="AF25:AH25" si="73">AF24/AF8</f>
        <v>#REF!</v>
      </c>
      <c r="AH25" s="219">
        <f t="shared" si="73"/>
        <v>-2.902577840773882E-2</v>
      </c>
      <c r="AI25" s="128"/>
      <c r="AJ25" s="71" t="e">
        <f t="shared" ref="AJ25" si="74">AJ24/AJ8</f>
        <v>#REF!</v>
      </c>
      <c r="AL25" s="29" t="e">
        <f t="shared" ref="AL25" si="75">AL24/AL8</f>
        <v>#REF!</v>
      </c>
      <c r="AN25" s="31" t="e">
        <f t="shared" ref="AN25:AP25" si="76">AN24/AN8</f>
        <v>#REF!</v>
      </c>
      <c r="AP25" s="219">
        <f t="shared" si="76"/>
        <v>-5.3125151586030643</v>
      </c>
      <c r="AQ25" s="128"/>
    </row>
    <row r="26" spans="2:43" ht="15.45">
      <c r="B26" s="7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28"/>
      <c r="T26" s="10"/>
      <c r="U26" s="128"/>
      <c r="V26" s="128"/>
      <c r="W26" s="128"/>
      <c r="X26" s="128"/>
      <c r="Y26" s="128"/>
      <c r="Z26" s="128"/>
      <c r="AA26" s="128"/>
      <c r="AB26" s="10"/>
      <c r="AC26" s="128"/>
      <c r="AD26" s="128"/>
      <c r="AE26" s="128"/>
      <c r="AF26" s="128"/>
      <c r="AG26" s="128"/>
      <c r="AH26" s="128"/>
      <c r="AI26" s="128"/>
      <c r="AJ26" s="10"/>
      <c r="AK26" s="128"/>
      <c r="AL26" s="128"/>
      <c r="AM26" s="128"/>
      <c r="AN26" s="128"/>
      <c r="AO26" s="128"/>
      <c r="AP26" s="128"/>
      <c r="AQ26" s="128"/>
    </row>
    <row r="27" spans="2:43" ht="33" customHeight="1">
      <c r="B27" s="405" t="s">
        <v>22</v>
      </c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126"/>
      <c r="P27" s="126"/>
      <c r="Q27" s="126"/>
      <c r="R27" s="126"/>
      <c r="T27" s="126"/>
      <c r="AB27" s="126"/>
      <c r="AJ27" s="126"/>
    </row>
    <row r="28" spans="2:43" ht="15" thickBot="1"/>
    <row r="29" spans="2:43" ht="15.9" thickBot="1">
      <c r="B29" s="141" t="s">
        <v>87</v>
      </c>
      <c r="C29" s="396">
        <v>2016</v>
      </c>
      <c r="D29" s="396"/>
      <c r="E29" s="396"/>
      <c r="F29" s="397"/>
      <c r="G29" s="398">
        <v>2017</v>
      </c>
      <c r="H29" s="399"/>
      <c r="I29" s="399"/>
      <c r="J29" s="400"/>
      <c r="K29" s="401">
        <v>2018</v>
      </c>
      <c r="L29" s="402"/>
      <c r="M29" s="402"/>
      <c r="N29" s="403"/>
      <c r="O29" s="406">
        <v>2019</v>
      </c>
      <c r="P29" s="407"/>
      <c r="Q29" s="407"/>
      <c r="R29" s="408"/>
    </row>
    <row r="30" spans="2:43">
      <c r="B30" s="50" t="s">
        <v>1</v>
      </c>
      <c r="C30" s="140" t="s">
        <v>2</v>
      </c>
      <c r="D30" s="132" t="s">
        <v>3</v>
      </c>
      <c r="E30" s="132" t="s">
        <v>4</v>
      </c>
      <c r="F30" s="133" t="s">
        <v>5</v>
      </c>
      <c r="G30" s="134" t="s">
        <v>2</v>
      </c>
      <c r="H30" s="134" t="s">
        <v>3</v>
      </c>
      <c r="I30" s="134" t="s">
        <v>4</v>
      </c>
      <c r="J30" s="135" t="s">
        <v>5</v>
      </c>
      <c r="K30" s="136" t="s">
        <v>2</v>
      </c>
      <c r="L30" s="136" t="s">
        <v>3</v>
      </c>
      <c r="M30" s="136" t="s">
        <v>4</v>
      </c>
      <c r="N30" s="137" t="s">
        <v>5</v>
      </c>
      <c r="O30" s="224" t="s">
        <v>2</v>
      </c>
      <c r="P30" s="224" t="s">
        <v>3</v>
      </c>
      <c r="Q30" s="224" t="s">
        <v>4</v>
      </c>
      <c r="R30" s="225" t="s">
        <v>5</v>
      </c>
    </row>
    <row r="31" spans="2:43">
      <c r="B31" s="91" t="s">
        <v>9</v>
      </c>
      <c r="C31" s="55" t="e">
        <f>'P &amp; L'!#REF!</f>
        <v>#REF!</v>
      </c>
      <c r="D31" s="55" t="e">
        <f>'P &amp; L'!#REF!</f>
        <v>#REF!</v>
      </c>
      <c r="E31" s="55" t="e">
        <f>'P &amp; L'!#REF!</f>
        <v>#REF!</v>
      </c>
      <c r="F31" s="55" t="e">
        <f>'P &amp; L'!#REF!</f>
        <v>#REF!</v>
      </c>
      <c r="G31" s="56" t="e">
        <f>'P &amp; L'!#REF!</f>
        <v>#REF!</v>
      </c>
      <c r="H31" s="56" t="e">
        <f>'P &amp; L'!#REF!</f>
        <v>#REF!</v>
      </c>
      <c r="I31" s="56" t="e">
        <f>'P &amp; L'!#REF!</f>
        <v>#REF!</v>
      </c>
      <c r="J31" s="56" t="e">
        <f>'P &amp; L'!#REF!</f>
        <v>#REF!</v>
      </c>
      <c r="K31" s="57" t="e">
        <f>'P &amp; L'!#REF!</f>
        <v>#REF!</v>
      </c>
      <c r="L31" s="57" t="e">
        <f>'P &amp; L'!#REF!</f>
        <v>#REF!</v>
      </c>
      <c r="M31" s="57" t="e">
        <f>'P &amp; L'!#REF!</f>
        <v>#REF!</v>
      </c>
      <c r="N31" s="57" t="e">
        <f>'P &amp; L'!#REF!</f>
        <v>#REF!</v>
      </c>
      <c r="O31" s="181">
        <f>'P &amp; L'!C5</f>
        <v>223259</v>
      </c>
      <c r="P31" s="181">
        <f>'P &amp; L'!D5</f>
        <v>250705</v>
      </c>
      <c r="Q31" s="181">
        <f>'P &amp; L'!E5</f>
        <v>242630</v>
      </c>
      <c r="R31" s="181">
        <f>'P &amp; L'!F5</f>
        <v>245723</v>
      </c>
    </row>
    <row r="32" spans="2:43">
      <c r="B32" s="62"/>
      <c r="C32" s="43"/>
      <c r="D32" s="114"/>
      <c r="E32" s="100"/>
      <c r="F32" s="114"/>
      <c r="G32" s="63"/>
      <c r="H32" s="115"/>
      <c r="I32" s="63"/>
      <c r="J32" s="115"/>
      <c r="K32" s="64"/>
      <c r="L32" s="111"/>
      <c r="M32" s="64"/>
      <c r="N32" s="111"/>
      <c r="O32" s="183"/>
      <c r="P32" s="195"/>
      <c r="Q32" s="183"/>
      <c r="R32" s="195"/>
    </row>
    <row r="33" spans="2:28">
      <c r="B33" s="33" t="s">
        <v>10</v>
      </c>
      <c r="C33" s="47" t="e">
        <f>'P &amp; L'!#REF!</f>
        <v>#REF!</v>
      </c>
      <c r="D33" s="47" t="e">
        <f>'P &amp; L'!#REF!</f>
        <v>#REF!</v>
      </c>
      <c r="E33" s="101" t="e">
        <f>'P &amp; L'!#REF!</f>
        <v>#REF!</v>
      </c>
      <c r="F33" s="47" t="e">
        <f>'P &amp; L'!#REF!</f>
        <v>#REF!</v>
      </c>
      <c r="G33" s="78" t="e">
        <f>'P &amp; L'!#REF!</f>
        <v>#REF!</v>
      </c>
      <c r="H33" s="48" t="e">
        <f>'P &amp; L'!#REF!</f>
        <v>#REF!</v>
      </c>
      <c r="I33" s="78" t="e">
        <f>'P &amp; L'!#REF!</f>
        <v>#REF!</v>
      </c>
      <c r="J33" s="48" t="e">
        <f>'P &amp; L'!#REF!</f>
        <v>#REF!</v>
      </c>
      <c r="K33" s="80" t="e">
        <f>'P &amp; L'!#REF!</f>
        <v>#REF!</v>
      </c>
      <c r="L33" s="49" t="e">
        <f>'P &amp; L'!#REF!</f>
        <v>#REF!</v>
      </c>
      <c r="M33" s="80" t="e">
        <f>'P &amp; L'!#REF!</f>
        <v>#REF!</v>
      </c>
      <c r="N33" s="49" t="e">
        <f>'P &amp; L'!#REF!</f>
        <v>#REF!</v>
      </c>
      <c r="O33" s="191">
        <f>'P &amp; L'!C7</f>
        <v>73124</v>
      </c>
      <c r="P33" s="180">
        <f>'P &amp; L'!D7</f>
        <v>88753</v>
      </c>
      <c r="Q33" s="191">
        <f>'P &amp; L'!E7</f>
        <v>72868</v>
      </c>
      <c r="R33" s="180">
        <f>'P &amp; L'!F7</f>
        <v>69811</v>
      </c>
      <c r="Y33" s="246"/>
    </row>
    <row r="34" spans="2:28">
      <c r="B34" s="33" t="s">
        <v>11</v>
      </c>
      <c r="C34" s="47" t="e">
        <f>'P &amp; L'!#REF!</f>
        <v>#REF!</v>
      </c>
      <c r="D34" s="47" t="e">
        <f>'P &amp; L'!#REF!</f>
        <v>#REF!</v>
      </c>
      <c r="E34" s="101" t="e">
        <f>'P &amp; L'!#REF!</f>
        <v>#REF!</v>
      </c>
      <c r="F34" s="47" t="e">
        <f>'P &amp; L'!#REF!</f>
        <v>#REF!</v>
      </c>
      <c r="G34" s="78" t="e">
        <f>'P &amp; L'!#REF!</f>
        <v>#REF!</v>
      </c>
      <c r="H34" s="48" t="e">
        <f>'P &amp; L'!#REF!</f>
        <v>#REF!</v>
      </c>
      <c r="I34" s="78" t="e">
        <f>'P &amp; L'!#REF!</f>
        <v>#REF!</v>
      </c>
      <c r="J34" s="48" t="e">
        <f>'P &amp; L'!#REF!</f>
        <v>#REF!</v>
      </c>
      <c r="K34" s="80" t="e">
        <f>'P &amp; L'!#REF!</f>
        <v>#REF!</v>
      </c>
      <c r="L34" s="49" t="e">
        <f>'P &amp; L'!#REF!</f>
        <v>#REF!</v>
      </c>
      <c r="M34" s="80" t="e">
        <f>'P &amp; L'!#REF!</f>
        <v>#REF!</v>
      </c>
      <c r="N34" s="49" t="e">
        <f>'P &amp; L'!#REF!</f>
        <v>#REF!</v>
      </c>
      <c r="O34" s="191">
        <f>'P &amp; L'!C8</f>
        <v>23857</v>
      </c>
      <c r="P34" s="180">
        <f>'P &amp; L'!D8</f>
        <v>24694</v>
      </c>
      <c r="Q34" s="191">
        <f>'P &amp; L'!E8</f>
        <v>28170</v>
      </c>
      <c r="R34" s="180">
        <f>'P &amp; L'!F8</f>
        <v>41651</v>
      </c>
      <c r="AB34" s="12"/>
    </row>
    <row r="35" spans="2:28">
      <c r="B35" s="89" t="s">
        <v>12</v>
      </c>
      <c r="C35" s="55" t="e">
        <f t="shared" ref="C35:M35" si="77">C31-C33-C34</f>
        <v>#REF!</v>
      </c>
      <c r="D35" s="55" t="e">
        <f t="shared" si="77"/>
        <v>#REF!</v>
      </c>
      <c r="E35" s="116" t="e">
        <f t="shared" si="77"/>
        <v>#REF!</v>
      </c>
      <c r="F35" s="55" t="e">
        <f t="shared" si="77"/>
        <v>#REF!</v>
      </c>
      <c r="G35" s="117" t="e">
        <f t="shared" si="77"/>
        <v>#REF!</v>
      </c>
      <c r="H35" s="56" t="e">
        <f t="shared" si="77"/>
        <v>#REF!</v>
      </c>
      <c r="I35" s="117" t="e">
        <f t="shared" si="77"/>
        <v>#REF!</v>
      </c>
      <c r="J35" s="56" t="e">
        <f t="shared" si="77"/>
        <v>#REF!</v>
      </c>
      <c r="K35" s="118" t="e">
        <f t="shared" si="77"/>
        <v>#REF!</v>
      </c>
      <c r="L35" s="57" t="e">
        <f t="shared" si="77"/>
        <v>#REF!</v>
      </c>
      <c r="M35" s="118" t="e">
        <f t="shared" si="77"/>
        <v>#REF!</v>
      </c>
      <c r="N35" s="57" t="e">
        <f>N31-N33-N34</f>
        <v>#REF!</v>
      </c>
      <c r="O35" s="218">
        <f t="shared" ref="O35:Q35" si="78">O31-O33-O34</f>
        <v>126278</v>
      </c>
      <c r="P35" s="181">
        <f t="shared" si="78"/>
        <v>137258</v>
      </c>
      <c r="Q35" s="218">
        <f t="shared" si="78"/>
        <v>141592</v>
      </c>
      <c r="R35" s="181">
        <f>R31-R33-R34</f>
        <v>134261</v>
      </c>
      <c r="AB35" s="12"/>
    </row>
    <row r="36" spans="2:28">
      <c r="B36" s="33" t="s">
        <v>13</v>
      </c>
      <c r="C36" s="28" t="e">
        <f t="shared" ref="C36:N36" si="79">C35/C31</f>
        <v>#REF!</v>
      </c>
      <c r="D36" s="28" t="e">
        <f t="shared" si="79"/>
        <v>#REF!</v>
      </c>
      <c r="E36" s="71" t="e">
        <f t="shared" si="79"/>
        <v>#REF!</v>
      </c>
      <c r="F36" s="28" t="e">
        <f t="shared" si="79"/>
        <v>#REF!</v>
      </c>
      <c r="G36" s="29" t="e">
        <f t="shared" si="79"/>
        <v>#REF!</v>
      </c>
      <c r="H36" s="30" t="e">
        <f t="shared" si="79"/>
        <v>#REF!</v>
      </c>
      <c r="I36" s="29" t="e">
        <f t="shared" si="79"/>
        <v>#REF!</v>
      </c>
      <c r="J36" s="30" t="e">
        <f t="shared" si="79"/>
        <v>#REF!</v>
      </c>
      <c r="K36" s="31" t="e">
        <f t="shared" si="79"/>
        <v>#REF!</v>
      </c>
      <c r="L36" s="32" t="e">
        <f t="shared" si="79"/>
        <v>#REF!</v>
      </c>
      <c r="M36" s="31" t="e">
        <f t="shared" si="79"/>
        <v>#REF!</v>
      </c>
      <c r="N36" s="32" t="e">
        <f t="shared" si="79"/>
        <v>#REF!</v>
      </c>
      <c r="O36" s="219">
        <f t="shared" ref="O36:R36" si="80">O35/O31</f>
        <v>0.56561213657680098</v>
      </c>
      <c r="P36" s="208">
        <f t="shared" si="80"/>
        <v>0.54748808360423606</v>
      </c>
      <c r="Q36" s="219">
        <f t="shared" si="80"/>
        <v>0.58357169352512051</v>
      </c>
      <c r="R36" s="208">
        <f t="shared" si="80"/>
        <v>0.54639166866756472</v>
      </c>
      <c r="AB36" s="12"/>
    </row>
    <row r="37" spans="2:28">
      <c r="B37" s="138"/>
      <c r="C37" s="66"/>
      <c r="D37" s="66"/>
      <c r="E37" s="96"/>
      <c r="F37" s="66"/>
      <c r="G37" s="67"/>
      <c r="H37" s="68"/>
      <c r="I37" s="67"/>
      <c r="J37" s="68"/>
      <c r="K37" s="69"/>
      <c r="L37" s="70"/>
      <c r="M37" s="69"/>
      <c r="N37" s="70"/>
      <c r="O37" s="220"/>
      <c r="P37" s="221"/>
      <c r="Q37" s="220"/>
      <c r="R37" s="221"/>
      <c r="AB37" s="12"/>
    </row>
    <row r="38" spans="2:28">
      <c r="B38" s="33" t="s">
        <v>14</v>
      </c>
      <c r="C38" s="47" t="e">
        <f>SUM('P &amp; L'!#REF!)</f>
        <v>#REF!</v>
      </c>
      <c r="D38" s="47" t="e">
        <f>SUM('P &amp; L'!#REF!)</f>
        <v>#REF!</v>
      </c>
      <c r="E38" s="101" t="e">
        <f>SUM('P &amp; L'!#REF!)</f>
        <v>#REF!</v>
      </c>
      <c r="F38" s="47" t="e">
        <f>SUM('P &amp; L'!#REF!)</f>
        <v>#REF!</v>
      </c>
      <c r="G38" s="78" t="e">
        <f>SUM('P &amp; L'!#REF!)</f>
        <v>#REF!</v>
      </c>
      <c r="H38" s="48" t="e">
        <f>SUM('P &amp; L'!#REF!)</f>
        <v>#REF!</v>
      </c>
      <c r="I38" s="78" t="e">
        <f>SUM('P &amp; L'!#REF!)</f>
        <v>#REF!</v>
      </c>
      <c r="J38" s="48" t="e">
        <f>SUM('P &amp; L'!#REF!)</f>
        <v>#REF!</v>
      </c>
      <c r="K38" s="80" t="e">
        <f>SUM('P &amp; L'!#REF!)</f>
        <v>#REF!</v>
      </c>
      <c r="L38" s="49" t="e">
        <f>SUM('P &amp; L'!#REF!)</f>
        <v>#REF!</v>
      </c>
      <c r="M38" s="80" t="e">
        <f>SUM('P &amp; L'!#REF!)</f>
        <v>#REF!</v>
      </c>
      <c r="N38" s="49" t="e">
        <f>SUM('P &amp; L'!#REF!)</f>
        <v>#REF!</v>
      </c>
      <c r="O38" s="191">
        <f>SUM('P &amp; L'!C9:C10)</f>
        <v>117772</v>
      </c>
      <c r="P38" s="180">
        <f>SUM('P &amp; L'!D9:D10)</f>
        <v>114535</v>
      </c>
      <c r="Q38" s="191">
        <f>SUM('P &amp; L'!E9:E10)</f>
        <v>110698</v>
      </c>
      <c r="R38" s="180">
        <f>SUM('P &amp; L'!F9:F10)</f>
        <v>123741</v>
      </c>
      <c r="S38" s="12"/>
      <c r="AB38" s="12"/>
    </row>
    <row r="39" spans="2:28">
      <c r="B39" s="138"/>
      <c r="C39" s="43"/>
      <c r="D39" s="43"/>
      <c r="E39" s="100"/>
      <c r="F39" s="43"/>
      <c r="G39" s="63"/>
      <c r="H39" s="44"/>
      <c r="I39" s="63"/>
      <c r="J39" s="44"/>
      <c r="K39" s="64"/>
      <c r="L39" s="45"/>
      <c r="M39" s="64"/>
      <c r="N39" s="45"/>
      <c r="O39" s="183"/>
      <c r="P39" s="179"/>
      <c r="Q39" s="183"/>
      <c r="R39" s="179"/>
      <c r="AB39" s="12"/>
    </row>
    <row r="40" spans="2:28">
      <c r="B40" s="91" t="s">
        <v>15</v>
      </c>
      <c r="C40" s="55" t="e">
        <f t="shared" ref="C40:N40" si="81">C35-C38</f>
        <v>#REF!</v>
      </c>
      <c r="D40" s="55" t="e">
        <f t="shared" si="81"/>
        <v>#REF!</v>
      </c>
      <c r="E40" s="116" t="e">
        <f t="shared" si="81"/>
        <v>#REF!</v>
      </c>
      <c r="F40" s="55" t="e">
        <f t="shared" si="81"/>
        <v>#REF!</v>
      </c>
      <c r="G40" s="117" t="e">
        <f t="shared" si="81"/>
        <v>#REF!</v>
      </c>
      <c r="H40" s="56" t="e">
        <f t="shared" si="81"/>
        <v>#REF!</v>
      </c>
      <c r="I40" s="117" t="e">
        <f t="shared" si="81"/>
        <v>#REF!</v>
      </c>
      <c r="J40" s="56" t="e">
        <f t="shared" si="81"/>
        <v>#REF!</v>
      </c>
      <c r="K40" s="118" t="e">
        <f t="shared" si="81"/>
        <v>#REF!</v>
      </c>
      <c r="L40" s="57" t="e">
        <f t="shared" si="81"/>
        <v>#REF!</v>
      </c>
      <c r="M40" s="118" t="e">
        <f t="shared" si="81"/>
        <v>#REF!</v>
      </c>
      <c r="N40" s="57" t="e">
        <f t="shared" si="81"/>
        <v>#REF!</v>
      </c>
      <c r="O40" s="218">
        <f t="shared" ref="O40:R40" si="82">O35-O38</f>
        <v>8506</v>
      </c>
      <c r="P40" s="181">
        <f t="shared" si="82"/>
        <v>22723</v>
      </c>
      <c r="Q40" s="218">
        <f t="shared" si="82"/>
        <v>30894</v>
      </c>
      <c r="R40" s="181">
        <f t="shared" si="82"/>
        <v>10520</v>
      </c>
      <c r="AB40" s="12"/>
    </row>
    <row r="41" spans="2:28">
      <c r="B41" s="33" t="s">
        <v>16</v>
      </c>
      <c r="C41" s="28" t="e">
        <f t="shared" ref="C41:N41" si="83">C40/C31</f>
        <v>#REF!</v>
      </c>
      <c r="D41" s="28" t="e">
        <f t="shared" si="83"/>
        <v>#REF!</v>
      </c>
      <c r="E41" s="71" t="e">
        <f t="shared" si="83"/>
        <v>#REF!</v>
      </c>
      <c r="F41" s="28" t="e">
        <f t="shared" si="83"/>
        <v>#REF!</v>
      </c>
      <c r="G41" s="29" t="e">
        <f t="shared" si="83"/>
        <v>#REF!</v>
      </c>
      <c r="H41" s="30" t="e">
        <f t="shared" si="83"/>
        <v>#REF!</v>
      </c>
      <c r="I41" s="29" t="e">
        <f t="shared" si="83"/>
        <v>#REF!</v>
      </c>
      <c r="J41" s="30" t="e">
        <f t="shared" si="83"/>
        <v>#REF!</v>
      </c>
      <c r="K41" s="31" t="e">
        <f t="shared" si="83"/>
        <v>#REF!</v>
      </c>
      <c r="L41" s="32" t="e">
        <f t="shared" si="83"/>
        <v>#REF!</v>
      </c>
      <c r="M41" s="31" t="e">
        <f t="shared" si="83"/>
        <v>#REF!</v>
      </c>
      <c r="N41" s="32" t="e">
        <f t="shared" si="83"/>
        <v>#REF!</v>
      </c>
      <c r="O41" s="219">
        <f t="shared" ref="O41:R41" si="84">O40/O31</f>
        <v>3.8099247958648927E-2</v>
      </c>
      <c r="P41" s="208">
        <f t="shared" si="84"/>
        <v>9.0636405336949805E-2</v>
      </c>
      <c r="Q41" s="219">
        <f t="shared" si="84"/>
        <v>0.12732967893500391</v>
      </c>
      <c r="R41" s="208">
        <f t="shared" si="84"/>
        <v>4.2812435140381647E-2</v>
      </c>
    </row>
    <row r="42" spans="2:28">
      <c r="B42" s="139"/>
      <c r="C42" s="21"/>
      <c r="D42" s="21"/>
      <c r="E42" s="97"/>
      <c r="F42" s="21"/>
      <c r="G42" s="22"/>
      <c r="H42" s="23"/>
      <c r="I42" s="22"/>
      <c r="J42" s="23"/>
      <c r="K42" s="24"/>
      <c r="L42" s="25"/>
      <c r="M42" s="24"/>
      <c r="N42" s="25"/>
      <c r="O42" s="222"/>
      <c r="P42" s="223"/>
      <c r="Q42" s="222"/>
      <c r="R42" s="223"/>
    </row>
    <row r="43" spans="2:28">
      <c r="B43" s="33" t="s">
        <v>91</v>
      </c>
      <c r="C43" s="81" t="e">
        <f>'P &amp; L'!#REF!</f>
        <v>#REF!</v>
      </c>
      <c r="D43" s="81" t="e">
        <f>'P &amp; L'!#REF!</f>
        <v>#REF!</v>
      </c>
      <c r="E43" s="102" t="e">
        <f>'P &amp; L'!#REF!</f>
        <v>#REF!</v>
      </c>
      <c r="F43" s="81" t="e">
        <f>'P &amp; L'!#REF!</f>
        <v>#REF!</v>
      </c>
      <c r="G43" s="82" t="e">
        <f>'P &amp; L'!#REF!</f>
        <v>#REF!</v>
      </c>
      <c r="H43" s="83" t="e">
        <f>'P &amp; L'!#REF!</f>
        <v>#REF!</v>
      </c>
      <c r="I43" s="82" t="e">
        <f>'P &amp; L'!#REF!</f>
        <v>#REF!</v>
      </c>
      <c r="J43" s="83" t="e">
        <f>'P &amp; L'!#REF!</f>
        <v>#REF!</v>
      </c>
      <c r="K43" s="79" t="e">
        <f>'P &amp; L'!#REF!</f>
        <v>#REF!</v>
      </c>
      <c r="L43" s="112" t="e">
        <f>'P &amp; L'!#REF!</f>
        <v>#REF!</v>
      </c>
      <c r="M43" s="79" t="e">
        <f>'P &amp; L'!#REF!</f>
        <v>#REF!</v>
      </c>
      <c r="N43" s="119" t="e">
        <f>'P &amp; L'!#REF!</f>
        <v>#REF!</v>
      </c>
      <c r="O43" s="190">
        <f>'P &amp; L'!C15</f>
        <v>19161</v>
      </c>
      <c r="P43" s="196">
        <f>'P &amp; L'!D15</f>
        <v>17732</v>
      </c>
      <c r="Q43" s="190">
        <f>'P &amp; L'!E15</f>
        <v>17725</v>
      </c>
      <c r="R43" s="198">
        <f>'P &amp; L'!F15</f>
        <v>14074</v>
      </c>
    </row>
    <row r="44" spans="2:28">
      <c r="B44" s="33" t="s">
        <v>19</v>
      </c>
      <c r="C44" s="81" t="e">
        <f>'P &amp; L'!#REF!</f>
        <v>#REF!</v>
      </c>
      <c r="D44" s="81" t="e">
        <f>'P &amp; L'!#REF!</f>
        <v>#REF!</v>
      </c>
      <c r="E44" s="81" t="e">
        <f>'P &amp; L'!#REF!</f>
        <v>#REF!</v>
      </c>
      <c r="F44" s="81" t="e">
        <f>'P &amp; L'!#REF!</f>
        <v>#REF!</v>
      </c>
      <c r="G44" s="82" t="e">
        <f>'P &amp; L'!#REF!</f>
        <v>#REF!</v>
      </c>
      <c r="H44" s="83" t="e">
        <f>'P &amp; L'!#REF!</f>
        <v>#REF!</v>
      </c>
      <c r="I44" s="83" t="e">
        <f>'P &amp; L'!#REF!</f>
        <v>#REF!</v>
      </c>
      <c r="J44" s="83" t="e">
        <f>'P &amp; L'!#REF!</f>
        <v>#REF!</v>
      </c>
      <c r="K44" s="79" t="e">
        <f>'P &amp; L'!#REF!</f>
        <v>#REF!</v>
      </c>
      <c r="L44" s="112" t="e">
        <f>'P &amp; L'!#REF!</f>
        <v>#REF!</v>
      </c>
      <c r="M44" s="79" t="e">
        <f>'P &amp; L'!#REF!</f>
        <v>#REF!</v>
      </c>
      <c r="N44" s="119" t="e">
        <f>'P &amp; L'!#REF!</f>
        <v>#REF!</v>
      </c>
      <c r="O44" s="190">
        <f>'P &amp; L'!C16</f>
        <v>0</v>
      </c>
      <c r="P44" s="196">
        <f>'P &amp; L'!D16</f>
        <v>0</v>
      </c>
      <c r="Q44" s="190">
        <f>'P &amp; L'!E16</f>
        <v>0</v>
      </c>
      <c r="R44" s="198">
        <f>'P &amp; L'!F16</f>
        <v>31883</v>
      </c>
    </row>
    <row r="45" spans="2:28">
      <c r="B45" s="65"/>
      <c r="C45" s="81"/>
      <c r="D45" s="81"/>
      <c r="E45" s="102"/>
      <c r="F45" s="81"/>
      <c r="G45" s="82"/>
      <c r="H45" s="83"/>
      <c r="I45" s="82"/>
      <c r="J45" s="83"/>
      <c r="K45" s="79"/>
      <c r="L45" s="112"/>
      <c r="M45" s="79"/>
      <c r="N45" s="119"/>
      <c r="O45" s="190"/>
      <c r="P45" s="196"/>
      <c r="Q45" s="190"/>
      <c r="R45" s="198"/>
    </row>
    <row r="46" spans="2:28" s="246" customFormat="1">
      <c r="B46" s="91" t="s">
        <v>20</v>
      </c>
      <c r="C46" s="236" t="e">
        <f>C40-C43-C44</f>
        <v>#REF!</v>
      </c>
      <c r="D46" s="236" t="e">
        <f t="shared" ref="D46:N46" si="85">D40-D43-D44</f>
        <v>#REF!</v>
      </c>
      <c r="E46" s="237" t="e">
        <f t="shared" si="85"/>
        <v>#REF!</v>
      </c>
      <c r="F46" s="236" t="e">
        <f t="shared" si="85"/>
        <v>#REF!</v>
      </c>
      <c r="G46" s="238" t="e">
        <f t="shared" si="85"/>
        <v>#REF!</v>
      </c>
      <c r="H46" s="239" t="e">
        <f t="shared" si="85"/>
        <v>#REF!</v>
      </c>
      <c r="I46" s="238" t="e">
        <f t="shared" si="85"/>
        <v>#REF!</v>
      </c>
      <c r="J46" s="239" t="e">
        <f t="shared" si="85"/>
        <v>#REF!</v>
      </c>
      <c r="K46" s="240" t="e">
        <f t="shared" si="85"/>
        <v>#REF!</v>
      </c>
      <c r="L46" s="241" t="e">
        <f t="shared" si="85"/>
        <v>#REF!</v>
      </c>
      <c r="M46" s="240" t="e">
        <f t="shared" si="85"/>
        <v>#REF!</v>
      </c>
      <c r="N46" s="242" t="e">
        <f t="shared" si="85"/>
        <v>#REF!</v>
      </c>
      <c r="O46" s="243">
        <f t="shared" ref="O46:R46" si="86">O40-O43-O44</f>
        <v>-10655</v>
      </c>
      <c r="P46" s="244">
        <f t="shared" si="86"/>
        <v>4991</v>
      </c>
      <c r="Q46" s="243">
        <f t="shared" si="86"/>
        <v>13169</v>
      </c>
      <c r="R46" s="245">
        <f t="shared" si="86"/>
        <v>-35437</v>
      </c>
    </row>
    <row r="47" spans="2:28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</row>
    <row r="48" spans="2:28" ht="15.45"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</row>
    <row r="49" spans="2:19" ht="15" thickBot="1"/>
    <row r="50" spans="2:19" ht="15.9" thickBot="1">
      <c r="B50" s="141" t="s">
        <v>89</v>
      </c>
      <c r="C50" s="396">
        <v>2016</v>
      </c>
      <c r="D50" s="396"/>
      <c r="E50" s="396"/>
      <c r="F50" s="397"/>
      <c r="G50" s="398">
        <v>2017</v>
      </c>
      <c r="H50" s="399"/>
      <c r="I50" s="399"/>
      <c r="J50" s="400"/>
      <c r="K50" s="401">
        <v>2018</v>
      </c>
      <c r="L50" s="402"/>
      <c r="M50" s="402"/>
      <c r="N50" s="403"/>
      <c r="O50" s="406">
        <v>2018</v>
      </c>
      <c r="P50" s="407"/>
      <c r="Q50" s="407"/>
      <c r="R50" s="408"/>
    </row>
    <row r="51" spans="2:19">
      <c r="B51" s="50" t="s">
        <v>1</v>
      </c>
      <c r="C51" s="140" t="s">
        <v>2</v>
      </c>
      <c r="D51" s="132" t="s">
        <v>3</v>
      </c>
      <c r="E51" s="132" t="s">
        <v>4</v>
      </c>
      <c r="F51" s="133" t="s">
        <v>5</v>
      </c>
      <c r="G51" s="134" t="s">
        <v>2</v>
      </c>
      <c r="H51" s="134" t="s">
        <v>3</v>
      </c>
      <c r="I51" s="134" t="s">
        <v>4</v>
      </c>
      <c r="J51" s="135" t="s">
        <v>5</v>
      </c>
      <c r="K51" s="136" t="s">
        <v>2</v>
      </c>
      <c r="L51" s="136" t="s">
        <v>3</v>
      </c>
      <c r="M51" s="136" t="s">
        <v>4</v>
      </c>
      <c r="N51" s="137" t="s">
        <v>5</v>
      </c>
      <c r="O51" s="224" t="s">
        <v>2</v>
      </c>
      <c r="P51" s="224" t="s">
        <v>3</v>
      </c>
      <c r="Q51" s="224" t="s">
        <v>4</v>
      </c>
      <c r="R51" s="225" t="s">
        <v>5</v>
      </c>
    </row>
    <row r="52" spans="2:19">
      <c r="B52" s="91" t="s">
        <v>9</v>
      </c>
      <c r="C52" s="146" t="e">
        <f>C8-C31</f>
        <v>#REF!</v>
      </c>
      <c r="D52" s="146" t="e">
        <f t="shared" ref="D52:N52" si="87">D8-D31</f>
        <v>#REF!</v>
      </c>
      <c r="E52" s="146" t="e">
        <f t="shared" si="87"/>
        <v>#REF!</v>
      </c>
      <c r="F52" s="146" t="e">
        <f t="shared" si="87"/>
        <v>#REF!</v>
      </c>
      <c r="G52" s="147" t="e">
        <f t="shared" si="87"/>
        <v>#REF!</v>
      </c>
      <c r="H52" s="147" t="e">
        <f t="shared" si="87"/>
        <v>#REF!</v>
      </c>
      <c r="I52" s="147" t="e">
        <f t="shared" si="87"/>
        <v>#REF!</v>
      </c>
      <c r="J52" s="147" t="e">
        <f t="shared" si="87"/>
        <v>#REF!</v>
      </c>
      <c r="K52" s="148" t="e">
        <f t="shared" si="87"/>
        <v>#REF!</v>
      </c>
      <c r="L52" s="148" t="e">
        <f t="shared" si="87"/>
        <v>#REF!</v>
      </c>
      <c r="M52" s="148" t="e">
        <f t="shared" si="87"/>
        <v>#REF!</v>
      </c>
      <c r="N52" s="148" t="e">
        <f t="shared" si="87"/>
        <v>#REF!</v>
      </c>
      <c r="O52" s="226">
        <f t="shared" ref="O52:R52" si="88">O8-O31</f>
        <v>58076</v>
      </c>
      <c r="P52" s="226">
        <f t="shared" si="88"/>
        <v>7609.9621436439338</v>
      </c>
      <c r="Q52" s="226">
        <f t="shared" si="88"/>
        <v>30306.481655791751</v>
      </c>
      <c r="R52" s="226">
        <f t="shared" si="88"/>
        <v>-245723</v>
      </c>
    </row>
    <row r="53" spans="2:19">
      <c r="B53" s="62"/>
      <c r="C53" s="149"/>
      <c r="D53" s="150"/>
      <c r="E53" s="151"/>
      <c r="F53" s="150"/>
      <c r="G53" s="152"/>
      <c r="H53" s="153"/>
      <c r="I53" s="152"/>
      <c r="J53" s="153"/>
      <c r="K53" s="154"/>
      <c r="L53" s="155"/>
      <c r="M53" s="154"/>
      <c r="N53" s="155"/>
      <c r="O53" s="227"/>
      <c r="P53" s="228"/>
      <c r="Q53" s="227"/>
      <c r="R53" s="228"/>
    </row>
    <row r="54" spans="2:19">
      <c r="B54" s="33" t="s">
        <v>10</v>
      </c>
      <c r="C54" s="156" t="e">
        <f t="shared" ref="C54:N54" si="89">C10-C33</f>
        <v>#REF!</v>
      </c>
      <c r="D54" s="156" t="e">
        <f t="shared" si="89"/>
        <v>#REF!</v>
      </c>
      <c r="E54" s="157" t="e">
        <f t="shared" si="89"/>
        <v>#REF!</v>
      </c>
      <c r="F54" s="156" t="e">
        <f t="shared" si="89"/>
        <v>#REF!</v>
      </c>
      <c r="G54" s="158" t="e">
        <f t="shared" si="89"/>
        <v>#REF!</v>
      </c>
      <c r="H54" s="159" t="e">
        <f t="shared" si="89"/>
        <v>#REF!</v>
      </c>
      <c r="I54" s="158" t="e">
        <f t="shared" si="89"/>
        <v>#REF!</v>
      </c>
      <c r="J54" s="159" t="e">
        <f t="shared" si="89"/>
        <v>#REF!</v>
      </c>
      <c r="K54" s="160" t="e">
        <f t="shared" si="89"/>
        <v>#REF!</v>
      </c>
      <c r="L54" s="161" t="e">
        <f t="shared" si="89"/>
        <v>#REF!</v>
      </c>
      <c r="M54" s="160" t="e">
        <f t="shared" si="89"/>
        <v>#REF!</v>
      </c>
      <c r="N54" s="161" t="e">
        <f t="shared" si="89"/>
        <v>#REF!</v>
      </c>
      <c r="O54" s="229">
        <f t="shared" ref="O54:R54" si="90">O10-O33</f>
        <v>-73122.711377198881</v>
      </c>
      <c r="P54" s="230">
        <f t="shared" si="90"/>
        <v>-88751.610101235186</v>
      </c>
      <c r="Q54" s="229">
        <f t="shared" si="90"/>
        <v>-72866.651051977242</v>
      </c>
      <c r="R54" s="230">
        <f t="shared" si="90"/>
        <v>-69811</v>
      </c>
    </row>
    <row r="55" spans="2:19">
      <c r="B55" s="33" t="s">
        <v>11</v>
      </c>
      <c r="C55" s="156" t="e">
        <f t="shared" ref="C55:N55" si="91">C11-C34</f>
        <v>#REF!</v>
      </c>
      <c r="D55" s="156" t="e">
        <f t="shared" si="91"/>
        <v>#REF!</v>
      </c>
      <c r="E55" s="157" t="e">
        <f t="shared" si="91"/>
        <v>#REF!</v>
      </c>
      <c r="F55" s="156" t="e">
        <f t="shared" si="91"/>
        <v>#REF!</v>
      </c>
      <c r="G55" s="158" t="e">
        <f t="shared" si="91"/>
        <v>#REF!</v>
      </c>
      <c r="H55" s="159" t="e">
        <f t="shared" si="91"/>
        <v>#REF!</v>
      </c>
      <c r="I55" s="158" t="e">
        <f t="shared" si="91"/>
        <v>#REF!</v>
      </c>
      <c r="J55" s="159" t="e">
        <f t="shared" si="91"/>
        <v>#REF!</v>
      </c>
      <c r="K55" s="160" t="e">
        <f t="shared" si="91"/>
        <v>#REF!</v>
      </c>
      <c r="L55" s="161" t="e">
        <f t="shared" si="91"/>
        <v>#REF!</v>
      </c>
      <c r="M55" s="160" t="e">
        <f t="shared" si="91"/>
        <v>#REF!</v>
      </c>
      <c r="N55" s="161" t="e">
        <f t="shared" si="91"/>
        <v>#REF!</v>
      </c>
      <c r="O55" s="229">
        <f t="shared" ref="O55:R55" si="92">O11-O34</f>
        <v>-23857</v>
      </c>
      <c r="P55" s="230">
        <f t="shared" si="92"/>
        <v>-24694</v>
      </c>
      <c r="Q55" s="229">
        <f t="shared" si="92"/>
        <v>-28170</v>
      </c>
      <c r="R55" s="230">
        <f t="shared" si="92"/>
        <v>-41651</v>
      </c>
    </row>
    <row r="56" spans="2:19">
      <c r="B56" s="89" t="s">
        <v>12</v>
      </c>
      <c r="C56" s="146" t="e">
        <f t="shared" ref="C56:N56" si="93">C12-C35</f>
        <v>#REF!</v>
      </c>
      <c r="D56" s="146" t="e">
        <f t="shared" si="93"/>
        <v>#REF!</v>
      </c>
      <c r="E56" s="162" t="e">
        <f t="shared" si="93"/>
        <v>#REF!</v>
      </c>
      <c r="F56" s="146" t="e">
        <f t="shared" si="93"/>
        <v>#REF!</v>
      </c>
      <c r="G56" s="163" t="e">
        <f t="shared" si="93"/>
        <v>#REF!</v>
      </c>
      <c r="H56" s="147" t="e">
        <f t="shared" si="93"/>
        <v>#REF!</v>
      </c>
      <c r="I56" s="163" t="e">
        <f t="shared" si="93"/>
        <v>#REF!</v>
      </c>
      <c r="J56" s="147" t="e">
        <f t="shared" si="93"/>
        <v>#REF!</v>
      </c>
      <c r="K56" s="164" t="e">
        <f t="shared" si="93"/>
        <v>#REF!</v>
      </c>
      <c r="L56" s="148" t="e">
        <f t="shared" si="93"/>
        <v>#REF!</v>
      </c>
      <c r="M56" s="164" t="e">
        <f t="shared" si="93"/>
        <v>#REF!</v>
      </c>
      <c r="N56" s="148" t="e">
        <f t="shared" si="93"/>
        <v>#REF!</v>
      </c>
      <c r="O56" s="231">
        <f t="shared" ref="O56:R56" si="94">O12-O35</f>
        <v>155055.71137719887</v>
      </c>
      <c r="P56" s="226">
        <f t="shared" si="94"/>
        <v>121055.57224487912</v>
      </c>
      <c r="Q56" s="231">
        <f t="shared" si="94"/>
        <v>131343.13270776899</v>
      </c>
      <c r="R56" s="226">
        <f t="shared" si="94"/>
        <v>-134261</v>
      </c>
    </row>
    <row r="57" spans="2:19">
      <c r="B57" s="33" t="s">
        <v>13</v>
      </c>
      <c r="C57" s="28" t="e">
        <f t="shared" ref="C57:N57" si="95">C56/C52</f>
        <v>#REF!</v>
      </c>
      <c r="D57" s="28" t="e">
        <f t="shared" si="95"/>
        <v>#REF!</v>
      </c>
      <c r="E57" s="71" t="e">
        <f t="shared" si="95"/>
        <v>#REF!</v>
      </c>
      <c r="F57" s="28" t="e">
        <f t="shared" si="95"/>
        <v>#REF!</v>
      </c>
      <c r="G57" s="29" t="e">
        <f t="shared" si="95"/>
        <v>#REF!</v>
      </c>
      <c r="H57" s="30" t="e">
        <f t="shared" si="95"/>
        <v>#REF!</v>
      </c>
      <c r="I57" s="29" t="e">
        <f t="shared" si="95"/>
        <v>#REF!</v>
      </c>
      <c r="J57" s="30" t="e">
        <f t="shared" si="95"/>
        <v>#REF!</v>
      </c>
      <c r="K57" s="31" t="e">
        <f t="shared" si="95"/>
        <v>#REF!</v>
      </c>
      <c r="L57" s="32" t="e">
        <f t="shared" si="95"/>
        <v>#REF!</v>
      </c>
      <c r="M57" s="31" t="e">
        <f t="shared" si="95"/>
        <v>#REF!</v>
      </c>
      <c r="N57" s="32" t="e">
        <f t="shared" si="95"/>
        <v>#REF!</v>
      </c>
      <c r="O57" s="219">
        <f t="shared" ref="O57:R57" si="96">O56/O52</f>
        <v>2.6698758760451629</v>
      </c>
      <c r="P57" s="208">
        <f t="shared" si="96"/>
        <v>15.907513067721148</v>
      </c>
      <c r="Q57" s="219">
        <f t="shared" si="96"/>
        <v>4.3338297793689469</v>
      </c>
      <c r="R57" s="208">
        <f t="shared" si="96"/>
        <v>0.54639166866756472</v>
      </c>
    </row>
    <row r="58" spans="2:19">
      <c r="B58" s="138"/>
      <c r="C58" s="66"/>
      <c r="D58" s="66"/>
      <c r="E58" s="96"/>
      <c r="F58" s="66"/>
      <c r="G58" s="67"/>
      <c r="H58" s="68"/>
      <c r="I58" s="67"/>
      <c r="J58" s="68"/>
      <c r="K58" s="69"/>
      <c r="L58" s="70"/>
      <c r="M58" s="69"/>
      <c r="N58" s="70"/>
      <c r="O58" s="220"/>
      <c r="P58" s="221"/>
      <c r="Q58" s="220"/>
      <c r="R58" s="221"/>
    </row>
    <row r="59" spans="2:19">
      <c r="B59" s="33" t="s">
        <v>14</v>
      </c>
      <c r="C59" s="156" t="e">
        <f>C15-C38</f>
        <v>#REF!</v>
      </c>
      <c r="D59" s="156" t="e">
        <f t="shared" ref="D59:N59" si="97">D15-D38</f>
        <v>#REF!</v>
      </c>
      <c r="E59" s="157" t="e">
        <f t="shared" si="97"/>
        <v>#REF!</v>
      </c>
      <c r="F59" s="156" t="e">
        <f t="shared" si="97"/>
        <v>#REF!</v>
      </c>
      <c r="G59" s="158" t="e">
        <f t="shared" si="97"/>
        <v>#REF!</v>
      </c>
      <c r="H59" s="159" t="e">
        <f t="shared" si="97"/>
        <v>#REF!</v>
      </c>
      <c r="I59" s="158" t="e">
        <f t="shared" si="97"/>
        <v>#REF!</v>
      </c>
      <c r="J59" s="159" t="e">
        <f t="shared" si="97"/>
        <v>#REF!</v>
      </c>
      <c r="K59" s="160" t="e">
        <f t="shared" si="97"/>
        <v>#REF!</v>
      </c>
      <c r="L59" s="161" t="e">
        <f t="shared" si="97"/>
        <v>#REF!</v>
      </c>
      <c r="M59" s="160" t="e">
        <f t="shared" si="97"/>
        <v>#REF!</v>
      </c>
      <c r="N59" s="161" t="e">
        <f t="shared" si="97"/>
        <v>#REF!</v>
      </c>
      <c r="O59" s="229">
        <f>O15-O38</f>
        <v>-117771.93257031427</v>
      </c>
      <c r="P59" s="230">
        <f t="shared" ref="P59:R59" si="98">P15-P38</f>
        <v>-114534.64379499009</v>
      </c>
      <c r="Q59" s="229">
        <f t="shared" si="98"/>
        <v>-110697.80528488425</v>
      </c>
      <c r="R59" s="230">
        <f t="shared" si="98"/>
        <v>-123741</v>
      </c>
      <c r="S59" s="12"/>
    </row>
    <row r="60" spans="2:19">
      <c r="B60" s="138"/>
      <c r="C60" s="149"/>
      <c r="D60" s="149"/>
      <c r="E60" s="151"/>
      <c r="F60" s="149"/>
      <c r="G60" s="152"/>
      <c r="H60" s="165"/>
      <c r="I60" s="152"/>
      <c r="J60" s="165"/>
      <c r="K60" s="154"/>
      <c r="L60" s="166"/>
      <c r="M60" s="154"/>
      <c r="N60" s="166"/>
      <c r="O60" s="227"/>
      <c r="P60" s="232"/>
      <c r="Q60" s="227"/>
      <c r="R60" s="232"/>
    </row>
    <row r="61" spans="2:19">
      <c r="B61" s="91" t="s">
        <v>15</v>
      </c>
      <c r="C61" s="146" t="e">
        <f t="shared" ref="C61:N61" si="99">C56-C59</f>
        <v>#REF!</v>
      </c>
      <c r="D61" s="146" t="e">
        <f t="shared" si="99"/>
        <v>#REF!</v>
      </c>
      <c r="E61" s="162" t="e">
        <f t="shared" si="99"/>
        <v>#REF!</v>
      </c>
      <c r="F61" s="146" t="e">
        <f t="shared" si="99"/>
        <v>#REF!</v>
      </c>
      <c r="G61" s="163" t="e">
        <f t="shared" si="99"/>
        <v>#REF!</v>
      </c>
      <c r="H61" s="147" t="e">
        <f t="shared" si="99"/>
        <v>#REF!</v>
      </c>
      <c r="I61" s="163" t="e">
        <f t="shared" si="99"/>
        <v>#REF!</v>
      </c>
      <c r="J61" s="147" t="e">
        <f t="shared" si="99"/>
        <v>#REF!</v>
      </c>
      <c r="K61" s="164" t="e">
        <f t="shared" si="99"/>
        <v>#REF!</v>
      </c>
      <c r="L61" s="148" t="e">
        <f t="shared" si="99"/>
        <v>#REF!</v>
      </c>
      <c r="M61" s="164" t="e">
        <f t="shared" si="99"/>
        <v>#REF!</v>
      </c>
      <c r="N61" s="148" t="e">
        <f t="shared" si="99"/>
        <v>#REF!</v>
      </c>
      <c r="O61" s="231">
        <f t="shared" ref="O61:R61" si="100">O56-O59</f>
        <v>272827.64394751313</v>
      </c>
      <c r="P61" s="226">
        <f t="shared" si="100"/>
        <v>235590.21603986921</v>
      </c>
      <c r="Q61" s="231">
        <f t="shared" si="100"/>
        <v>242040.93799265323</v>
      </c>
      <c r="R61" s="226">
        <f t="shared" si="100"/>
        <v>-10520</v>
      </c>
    </row>
    <row r="62" spans="2:19">
      <c r="B62" s="33" t="s">
        <v>16</v>
      </c>
      <c r="C62" s="28" t="e">
        <f t="shared" ref="C62:N62" si="101">C61/C52</f>
        <v>#REF!</v>
      </c>
      <c r="D62" s="28" t="e">
        <f t="shared" si="101"/>
        <v>#REF!</v>
      </c>
      <c r="E62" s="71" t="e">
        <f t="shared" si="101"/>
        <v>#REF!</v>
      </c>
      <c r="F62" s="28" t="e">
        <f t="shared" si="101"/>
        <v>#REF!</v>
      </c>
      <c r="G62" s="29" t="e">
        <f t="shared" si="101"/>
        <v>#REF!</v>
      </c>
      <c r="H62" s="30" t="e">
        <f t="shared" si="101"/>
        <v>#REF!</v>
      </c>
      <c r="I62" s="29" t="e">
        <f t="shared" si="101"/>
        <v>#REF!</v>
      </c>
      <c r="J62" s="30" t="e">
        <f t="shared" si="101"/>
        <v>#REF!</v>
      </c>
      <c r="K62" s="31" t="e">
        <f t="shared" si="101"/>
        <v>#REF!</v>
      </c>
      <c r="L62" s="32" t="e">
        <f t="shared" si="101"/>
        <v>#REF!</v>
      </c>
      <c r="M62" s="31" t="e">
        <f t="shared" si="101"/>
        <v>#REF!</v>
      </c>
      <c r="N62" s="32" t="e">
        <f t="shared" si="101"/>
        <v>#REF!</v>
      </c>
      <c r="O62" s="219">
        <f t="shared" ref="O62:R62" si="102">O61/O52</f>
        <v>4.6977691980768848</v>
      </c>
      <c r="P62" s="208">
        <f t="shared" si="102"/>
        <v>30.95813245754989</v>
      </c>
      <c r="Q62" s="219">
        <f t="shared" si="102"/>
        <v>7.986441340887148</v>
      </c>
      <c r="R62" s="208">
        <f t="shared" si="102"/>
        <v>4.2812435140381647E-2</v>
      </c>
    </row>
    <row r="63" spans="2:19">
      <c r="B63" s="139"/>
      <c r="C63" s="21"/>
      <c r="D63" s="21"/>
      <c r="E63" s="97"/>
      <c r="F63" s="21"/>
      <c r="G63" s="22"/>
      <c r="H63" s="23"/>
      <c r="I63" s="22"/>
      <c r="J63" s="23"/>
      <c r="K63" s="24"/>
      <c r="L63" s="25"/>
      <c r="M63" s="24"/>
      <c r="N63" s="25"/>
      <c r="O63" s="222"/>
      <c r="P63" s="223"/>
      <c r="Q63" s="222"/>
      <c r="R63" s="223"/>
    </row>
    <row r="64" spans="2:19">
      <c r="B64" s="33" t="s">
        <v>92</v>
      </c>
      <c r="C64" s="156" t="e">
        <f>SUM(C20:C21)-SUM(C43)</f>
        <v>#REF!</v>
      </c>
      <c r="D64" s="167" t="e">
        <f t="shared" ref="D64:N64" si="103">SUM(D20:D21)-SUM(D43)</f>
        <v>#REF!</v>
      </c>
      <c r="E64" s="168" t="e">
        <f t="shared" si="103"/>
        <v>#REF!</v>
      </c>
      <c r="F64" s="167" t="e">
        <f t="shared" si="103"/>
        <v>#REF!</v>
      </c>
      <c r="G64" s="169" t="e">
        <f t="shared" si="103"/>
        <v>#REF!</v>
      </c>
      <c r="H64" s="170" t="e">
        <f t="shared" si="103"/>
        <v>#REF!</v>
      </c>
      <c r="I64" s="169" t="e">
        <f t="shared" si="103"/>
        <v>#REF!</v>
      </c>
      <c r="J64" s="170" t="e">
        <f t="shared" si="103"/>
        <v>#REF!</v>
      </c>
      <c r="K64" s="171" t="e">
        <f t="shared" si="103"/>
        <v>#REF!</v>
      </c>
      <c r="L64" s="172" t="e">
        <f t="shared" si="103"/>
        <v>#REF!</v>
      </c>
      <c r="M64" s="171" t="e">
        <f t="shared" si="103"/>
        <v>#REF!</v>
      </c>
      <c r="N64" s="173" t="e">
        <f t="shared" si="103"/>
        <v>#REF!</v>
      </c>
      <c r="O64" s="233">
        <f t="shared" ref="O64:R64" si="104">SUM(O20:O21)-SUM(O43)</f>
        <v>-12345.065367695501</v>
      </c>
      <c r="P64" s="234">
        <f t="shared" si="104"/>
        <v>7423.0445509581732</v>
      </c>
      <c r="Q64" s="233">
        <f t="shared" si="104"/>
        <v>-4628.0307247925903</v>
      </c>
      <c r="R64" s="235">
        <f t="shared" si="104"/>
        <v>-14074</v>
      </c>
    </row>
    <row r="65" spans="2:18">
      <c r="B65" s="33" t="s">
        <v>19</v>
      </c>
      <c r="C65" s="156" t="e">
        <f>SUM(C22)-SUM(C44)</f>
        <v>#REF!</v>
      </c>
      <c r="D65" s="167" t="e">
        <f t="shared" ref="D65:N65" si="105">SUM(D22)-SUM(D44)</f>
        <v>#REF!</v>
      </c>
      <c r="E65" s="167" t="e">
        <f t="shared" si="105"/>
        <v>#REF!</v>
      </c>
      <c r="F65" s="167" t="e">
        <f t="shared" si="105"/>
        <v>#REF!</v>
      </c>
      <c r="G65" s="169" t="e">
        <f t="shared" si="105"/>
        <v>#REF!</v>
      </c>
      <c r="H65" s="170" t="e">
        <f t="shared" si="105"/>
        <v>#REF!</v>
      </c>
      <c r="I65" s="170" t="e">
        <f t="shared" si="105"/>
        <v>#REF!</v>
      </c>
      <c r="J65" s="170" t="e">
        <f t="shared" si="105"/>
        <v>#REF!</v>
      </c>
      <c r="K65" s="171" t="e">
        <f t="shared" si="105"/>
        <v>#REF!</v>
      </c>
      <c r="L65" s="172" t="e">
        <f t="shared" si="105"/>
        <v>#REF!</v>
      </c>
      <c r="M65" s="171" t="e">
        <f t="shared" si="105"/>
        <v>#REF!</v>
      </c>
      <c r="N65" s="173" t="e">
        <f t="shared" si="105"/>
        <v>#REF!</v>
      </c>
      <c r="O65" s="233">
        <f t="shared" ref="O65:R65" si="106">SUM(O22)-SUM(O44)</f>
        <v>0</v>
      </c>
      <c r="P65" s="234">
        <f t="shared" si="106"/>
        <v>0</v>
      </c>
      <c r="Q65" s="233">
        <f t="shared" si="106"/>
        <v>0</v>
      </c>
      <c r="R65" s="235">
        <f t="shared" si="106"/>
        <v>-31883</v>
      </c>
    </row>
    <row r="66" spans="2:18">
      <c r="B66" s="65"/>
      <c r="C66" s="167"/>
      <c r="D66" s="167"/>
      <c r="E66" s="168"/>
      <c r="F66" s="167"/>
      <c r="G66" s="169"/>
      <c r="H66" s="170"/>
      <c r="I66" s="169"/>
      <c r="J66" s="170"/>
      <c r="K66" s="171"/>
      <c r="L66" s="172"/>
      <c r="M66" s="171"/>
      <c r="N66" s="173"/>
      <c r="O66" s="233"/>
      <c r="P66" s="234"/>
      <c r="Q66" s="233"/>
      <c r="R66" s="235"/>
    </row>
    <row r="67" spans="2:18">
      <c r="B67" s="91" t="s">
        <v>20</v>
      </c>
      <c r="C67" s="236" t="e">
        <f>C61-C64-C65</f>
        <v>#REF!</v>
      </c>
      <c r="D67" s="236" t="e">
        <f t="shared" ref="D67:N67" si="107">D61-D64-D65</f>
        <v>#REF!</v>
      </c>
      <c r="E67" s="237" t="e">
        <f t="shared" si="107"/>
        <v>#REF!</v>
      </c>
      <c r="F67" s="236" t="e">
        <f t="shared" si="107"/>
        <v>#REF!</v>
      </c>
      <c r="G67" s="238" t="e">
        <f t="shared" si="107"/>
        <v>#REF!</v>
      </c>
      <c r="H67" s="239" t="e">
        <f t="shared" si="107"/>
        <v>#REF!</v>
      </c>
      <c r="I67" s="238" t="e">
        <f t="shared" si="107"/>
        <v>#REF!</v>
      </c>
      <c r="J67" s="239" t="e">
        <f t="shared" si="107"/>
        <v>#REF!</v>
      </c>
      <c r="K67" s="240" t="e">
        <f t="shared" si="107"/>
        <v>#REF!</v>
      </c>
      <c r="L67" s="241" t="e">
        <f t="shared" si="107"/>
        <v>#REF!</v>
      </c>
      <c r="M67" s="240" t="e">
        <f t="shared" si="107"/>
        <v>#REF!</v>
      </c>
      <c r="N67" s="242" t="e">
        <f t="shared" si="107"/>
        <v>#REF!</v>
      </c>
      <c r="O67" s="226">
        <f t="shared" ref="O67:R67" si="108">O61-O64-O65</f>
        <v>285172.70931520866</v>
      </c>
      <c r="P67" s="226">
        <f t="shared" si="108"/>
        <v>228167.17148891103</v>
      </c>
      <c r="Q67" s="226">
        <f t="shared" si="108"/>
        <v>246668.96871744582</v>
      </c>
      <c r="R67" s="226">
        <f t="shared" si="108"/>
        <v>35437</v>
      </c>
    </row>
    <row r="68" spans="2:18">
      <c r="B68" s="142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</row>
    <row r="69" spans="2:18" ht="15.45">
      <c r="B69" s="144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</row>
  </sheetData>
  <mergeCells count="16">
    <mergeCell ref="T3:Z3"/>
    <mergeCell ref="AB3:AH3"/>
    <mergeCell ref="AJ3:AP3"/>
    <mergeCell ref="C50:F50"/>
    <mergeCell ref="G50:J50"/>
    <mergeCell ref="K50:N50"/>
    <mergeCell ref="C3:F3"/>
    <mergeCell ref="G3:J3"/>
    <mergeCell ref="K3:N3"/>
    <mergeCell ref="B27:N27"/>
    <mergeCell ref="C29:F29"/>
    <mergeCell ref="G29:J29"/>
    <mergeCell ref="K29:N29"/>
    <mergeCell ref="O3:R3"/>
    <mergeCell ref="O29:R29"/>
    <mergeCell ref="O50:R50"/>
  </mergeCells>
  <pageMargins left="0.7" right="0.7" top="0.75" bottom="0.75" header="0.3" footer="0.3"/>
  <pageSetup paperSize="9" scale="57" orientation="landscape" horizontalDpi="1200" verticalDpi="1200" r:id="rId1"/>
  <colBreaks count="1" manualBreakCount="1">
    <brk id="26" min="1" max="26" man="1"/>
  </colBreaks>
  <ignoredErrors>
    <ignoredError sqref="C38:N38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S44"/>
  <sheetViews>
    <sheetView view="pageBreakPreview" topLeftCell="B1" zoomScaleNormal="100" zoomScaleSheetLayoutView="100" workbookViewId="0">
      <selection activeCell="Z38" sqref="Z38"/>
    </sheetView>
  </sheetViews>
  <sheetFormatPr defaultColWidth="9.07421875" defaultRowHeight="14.6"/>
  <cols>
    <col min="1" max="1" width="2.4609375" customWidth="1"/>
    <col min="2" max="2" width="66.53515625" customWidth="1"/>
    <col min="3" max="18" width="10.53515625" customWidth="1"/>
    <col min="19" max="19" width="3" customWidth="1"/>
  </cols>
  <sheetData>
    <row r="1" spans="2:19" ht="15" thickBot="1"/>
    <row r="2" spans="2:19" ht="15.9" thickBot="1">
      <c r="B2" s="1" t="s">
        <v>67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4"/>
    </row>
    <row r="3" spans="2:19" ht="15" thickBot="1">
      <c r="B3" s="37" t="s">
        <v>23</v>
      </c>
      <c r="C3" s="406">
        <v>2019</v>
      </c>
      <c r="D3" s="407"/>
      <c r="E3" s="407"/>
      <c r="F3" s="408"/>
      <c r="G3" s="398">
        <v>2020</v>
      </c>
      <c r="H3" s="399"/>
      <c r="I3" s="399"/>
      <c r="J3" s="400"/>
      <c r="K3" s="409">
        <v>2021</v>
      </c>
      <c r="L3" s="410"/>
      <c r="M3" s="410"/>
      <c r="N3" s="411"/>
      <c r="O3" s="412">
        <v>2022</v>
      </c>
      <c r="P3" s="413"/>
      <c r="Q3" s="413"/>
      <c r="R3" s="413"/>
      <c r="S3" s="14"/>
    </row>
    <row r="4" spans="2:19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7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14"/>
    </row>
    <row r="5" spans="2:19">
      <c r="B5" s="42" t="s">
        <v>32</v>
      </c>
      <c r="C5" s="179">
        <v>-17780</v>
      </c>
      <c r="D5" s="179">
        <v>-391</v>
      </c>
      <c r="E5" s="179">
        <v>28431</v>
      </c>
      <c r="F5" s="179">
        <v>-33861</v>
      </c>
      <c r="G5" s="44">
        <v>-12428</v>
      </c>
      <c r="H5" s="44">
        <v>1247</v>
      </c>
      <c r="I5" s="44">
        <v>2064</v>
      </c>
      <c r="J5" s="44">
        <v>-23329</v>
      </c>
      <c r="K5" s="271">
        <v>-4097</v>
      </c>
      <c r="L5" s="271">
        <v>15839</v>
      </c>
      <c r="M5" s="271">
        <v>18501</v>
      </c>
      <c r="N5" s="271">
        <v>9323.3925429775772</v>
      </c>
      <c r="O5" s="292">
        <v>-5159</v>
      </c>
      <c r="P5" s="292">
        <v>15141.449395226677</v>
      </c>
      <c r="Q5" s="292">
        <v>-1658</v>
      </c>
      <c r="R5" s="292">
        <v>4009.1248935384701</v>
      </c>
      <c r="S5" s="14"/>
    </row>
    <row r="6" spans="2:19">
      <c r="B6" s="46" t="s">
        <v>68</v>
      </c>
      <c r="C6" s="180">
        <v>-1835</v>
      </c>
      <c r="D6" s="180">
        <v>-1896</v>
      </c>
      <c r="E6" s="180">
        <v>-2025</v>
      </c>
      <c r="F6" s="180">
        <v>-2278</v>
      </c>
      <c r="G6" s="48">
        <v>-2938</v>
      </c>
      <c r="H6" s="48">
        <v>-338</v>
      </c>
      <c r="I6" s="48">
        <v>-509</v>
      </c>
      <c r="J6" s="48">
        <v>-1545</v>
      </c>
      <c r="K6" s="265">
        <v>-110</v>
      </c>
      <c r="L6" s="265">
        <v>0</v>
      </c>
      <c r="M6" s="265">
        <v>-2489.6498305230011</v>
      </c>
      <c r="N6" s="265">
        <v>0</v>
      </c>
      <c r="O6" s="287">
        <v>0</v>
      </c>
      <c r="P6" s="287">
        <v>0</v>
      </c>
      <c r="Q6" s="287">
        <v>0</v>
      </c>
      <c r="R6" s="287">
        <v>0</v>
      </c>
      <c r="S6" s="14"/>
    </row>
    <row r="7" spans="2:19">
      <c r="B7" s="46" t="s">
        <v>118</v>
      </c>
      <c r="C7" s="180">
        <v>7082</v>
      </c>
      <c r="D7" s="180">
        <v>7162</v>
      </c>
      <c r="E7" s="180">
        <v>7271</v>
      </c>
      <c r="F7" s="180">
        <v>7613</v>
      </c>
      <c r="G7" s="48">
        <v>7269</v>
      </c>
      <c r="H7" s="48">
        <v>7597</v>
      </c>
      <c r="I7" s="48">
        <v>6848</v>
      </c>
      <c r="J7" s="48">
        <v>29139</v>
      </c>
      <c r="K7" s="265">
        <v>11690</v>
      </c>
      <c r="L7" s="265">
        <v>7464</v>
      </c>
      <c r="M7" s="265">
        <v>7114</v>
      </c>
      <c r="N7" s="265">
        <v>6039</v>
      </c>
      <c r="O7" s="287">
        <v>8011</v>
      </c>
      <c r="P7" s="287">
        <v>7703</v>
      </c>
      <c r="Q7" s="287">
        <v>9302.0548972351298</v>
      </c>
      <c r="R7" s="287">
        <v>9744.5529999999999</v>
      </c>
      <c r="S7" s="14"/>
    </row>
    <row r="8" spans="2:19">
      <c r="B8" s="46" t="s">
        <v>76</v>
      </c>
      <c r="C8" s="180">
        <v>12079</v>
      </c>
      <c r="D8" s="180">
        <v>10570</v>
      </c>
      <c r="E8" s="180">
        <v>10454</v>
      </c>
      <c r="F8" s="180">
        <v>38344</v>
      </c>
      <c r="G8" s="48">
        <v>8432</v>
      </c>
      <c r="H8" s="48">
        <v>8599</v>
      </c>
      <c r="I8" s="48">
        <v>7588</v>
      </c>
      <c r="J8" s="48">
        <v>9105</v>
      </c>
      <c r="K8" s="265">
        <v>2762</v>
      </c>
      <c r="L8" s="265">
        <v>7492</v>
      </c>
      <c r="M8" s="265">
        <v>7396</v>
      </c>
      <c r="N8" s="265">
        <v>7824</v>
      </c>
      <c r="O8" s="287">
        <v>5253</v>
      </c>
      <c r="P8" s="287">
        <v>5287</v>
      </c>
      <c r="Q8" s="287">
        <v>2996.951</v>
      </c>
      <c r="R8" s="287">
        <v>4724.402</v>
      </c>
      <c r="S8" s="14"/>
    </row>
    <row r="9" spans="2:19">
      <c r="B9" s="46" t="s">
        <v>146</v>
      </c>
      <c r="C9" s="180"/>
      <c r="D9" s="180"/>
      <c r="E9" s="180"/>
      <c r="F9" s="180"/>
      <c r="G9" s="48"/>
      <c r="H9" s="48"/>
      <c r="I9" s="48"/>
      <c r="J9" s="48"/>
      <c r="K9" s="265">
        <v>-252</v>
      </c>
      <c r="L9" s="265">
        <v>0</v>
      </c>
      <c r="M9" s="265">
        <v>-2200</v>
      </c>
      <c r="N9" s="265">
        <v>0</v>
      </c>
      <c r="O9" s="287">
        <v>0</v>
      </c>
      <c r="P9" s="287">
        <v>0</v>
      </c>
      <c r="Q9" s="287">
        <v>0</v>
      </c>
      <c r="R9" s="287">
        <v>0</v>
      </c>
      <c r="S9" s="14"/>
    </row>
    <row r="10" spans="2:19">
      <c r="B10" s="46" t="s">
        <v>114</v>
      </c>
      <c r="C10" s="180">
        <v>-175</v>
      </c>
      <c r="D10" s="180">
        <v>-170</v>
      </c>
      <c r="E10" s="180">
        <v>121</v>
      </c>
      <c r="F10" s="180">
        <v>51</v>
      </c>
      <c r="G10" s="48">
        <v>285</v>
      </c>
      <c r="H10" s="48">
        <v>383</v>
      </c>
      <c r="I10" s="48">
        <v>549</v>
      </c>
      <c r="J10" s="48">
        <v>225</v>
      </c>
      <c r="K10" s="265">
        <v>225</v>
      </c>
      <c r="L10" s="265">
        <v>0</v>
      </c>
      <c r="M10" s="265">
        <v>0</v>
      </c>
      <c r="N10" s="265">
        <v>0</v>
      </c>
      <c r="O10" s="287">
        <v>0</v>
      </c>
      <c r="P10" s="287">
        <v>0</v>
      </c>
      <c r="Q10" s="287">
        <v>0</v>
      </c>
      <c r="R10" s="287">
        <v>0</v>
      </c>
      <c r="S10" s="14"/>
    </row>
    <row r="11" spans="2:19">
      <c r="B11" s="46" t="s">
        <v>115</v>
      </c>
      <c r="C11" s="180">
        <v>88</v>
      </c>
      <c r="D11" s="180">
        <v>98</v>
      </c>
      <c r="E11" s="180">
        <v>81</v>
      </c>
      <c r="F11" s="180">
        <v>81</v>
      </c>
      <c r="G11" s="48">
        <v>-65</v>
      </c>
      <c r="H11" s="48">
        <v>-84</v>
      </c>
      <c r="I11" s="48">
        <v>-84</v>
      </c>
      <c r="J11" s="48">
        <v>0</v>
      </c>
      <c r="K11" s="265">
        <v>0</v>
      </c>
      <c r="L11" s="265">
        <v>0</v>
      </c>
      <c r="M11" s="265">
        <v>0</v>
      </c>
      <c r="N11" s="265">
        <v>-97</v>
      </c>
      <c r="O11" s="287">
        <v>-24</v>
      </c>
      <c r="P11" s="287">
        <v>-24</v>
      </c>
      <c r="Q11" s="287">
        <v>414</v>
      </c>
      <c r="R11" s="287">
        <v>24.1</v>
      </c>
      <c r="S11" s="14"/>
    </row>
    <row r="12" spans="2:19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14"/>
    </row>
    <row r="13" spans="2:19">
      <c r="B13" s="85" t="s">
        <v>69</v>
      </c>
      <c r="C13" s="180"/>
      <c r="D13" s="180"/>
      <c r="E13" s="180"/>
      <c r="F13" s="180"/>
      <c r="G13" s="48"/>
      <c r="H13" s="48"/>
      <c r="I13" s="48"/>
      <c r="J13" s="48"/>
      <c r="K13" s="265"/>
      <c r="L13" s="265"/>
      <c r="M13" s="265"/>
      <c r="N13" s="265"/>
      <c r="O13" s="287"/>
      <c r="P13" s="287"/>
      <c r="Q13" s="287"/>
      <c r="R13" s="287"/>
      <c r="S13" s="14"/>
    </row>
    <row r="14" spans="2:19">
      <c r="B14" s="46" t="s">
        <v>70</v>
      </c>
      <c r="C14" s="180">
        <v>8240</v>
      </c>
      <c r="D14" s="180">
        <v>-2810</v>
      </c>
      <c r="E14" s="180">
        <v>-6865</v>
      </c>
      <c r="F14" s="180">
        <v>-2712</v>
      </c>
      <c r="G14" s="48">
        <v>2710</v>
      </c>
      <c r="H14" s="48">
        <v>7076</v>
      </c>
      <c r="I14" s="48">
        <v>5555</v>
      </c>
      <c r="J14" s="48">
        <v>2996</v>
      </c>
      <c r="K14" s="265">
        <v>-6403</v>
      </c>
      <c r="L14" s="265">
        <v>-11679.708006071196</v>
      </c>
      <c r="M14" s="265">
        <v>-1708.4889556147245</v>
      </c>
      <c r="N14" s="265">
        <v>-8234.1898812674626</v>
      </c>
      <c r="O14" s="287">
        <v>483.66737139604811</v>
      </c>
      <c r="P14" s="287">
        <v>-10870.356292630284</v>
      </c>
      <c r="Q14" s="287">
        <v>-18442.896452404952</v>
      </c>
      <c r="R14" s="287">
        <v>28068</v>
      </c>
      <c r="S14" s="14"/>
    </row>
    <row r="15" spans="2:19">
      <c r="B15" s="46" t="s">
        <v>71</v>
      </c>
      <c r="C15" s="180">
        <v>-10344</v>
      </c>
      <c r="D15" s="180">
        <v>-19133</v>
      </c>
      <c r="E15" s="180">
        <v>-16927</v>
      </c>
      <c r="F15" s="180">
        <v>19666</v>
      </c>
      <c r="G15" s="48">
        <v>3559</v>
      </c>
      <c r="H15" s="48">
        <v>91</v>
      </c>
      <c r="I15" s="48">
        <v>-2190</v>
      </c>
      <c r="J15" s="48">
        <v>7531</v>
      </c>
      <c r="K15" s="265">
        <v>8105</v>
      </c>
      <c r="L15" s="265">
        <v>-6937.2654395969003</v>
      </c>
      <c r="M15" s="265">
        <v>8816.2207338857115</v>
      </c>
      <c r="N15" s="265">
        <v>25292.329690644328</v>
      </c>
      <c r="O15" s="287">
        <v>-5969.4588809632696</v>
      </c>
      <c r="P15" s="287">
        <v>526.5288415497198</v>
      </c>
      <c r="Q15" s="287">
        <v>-17986.539373680396</v>
      </c>
      <c r="R15" s="287">
        <v>-9353.7942095638282</v>
      </c>
      <c r="S15" s="14"/>
    </row>
    <row r="16" spans="2:19">
      <c r="B16" s="46" t="s">
        <v>116</v>
      </c>
      <c r="C16" s="180">
        <v>37202</v>
      </c>
      <c r="D16" s="180">
        <v>-47120</v>
      </c>
      <c r="E16" s="180">
        <v>804</v>
      </c>
      <c r="F16" s="180">
        <v>29668</v>
      </c>
      <c r="G16" s="48">
        <v>-21566</v>
      </c>
      <c r="H16" s="48">
        <v>35860</v>
      </c>
      <c r="I16" s="48">
        <v>-2204</v>
      </c>
      <c r="J16" s="48">
        <v>-9997</v>
      </c>
      <c r="K16" s="265">
        <v>7430</v>
      </c>
      <c r="L16" s="265">
        <v>-39435.301412431902</v>
      </c>
      <c r="M16" s="265">
        <v>17604.458004897053</v>
      </c>
      <c r="N16" s="265">
        <v>-21857.576341865235</v>
      </c>
      <c r="O16" s="287">
        <v>29985.9763440729</v>
      </c>
      <c r="P16" s="287">
        <v>-15789.183761742606</v>
      </c>
      <c r="Q16" s="287">
        <v>-7473.6611220955383</v>
      </c>
      <c r="R16" s="287">
        <v>-35546.478042829287</v>
      </c>
      <c r="S16" s="14"/>
    </row>
    <row r="17" spans="2:19">
      <c r="B17" s="46" t="s">
        <v>117</v>
      </c>
      <c r="C17" s="180">
        <v>951</v>
      </c>
      <c r="D17" s="180">
        <v>11452</v>
      </c>
      <c r="E17" s="180">
        <v>11818</v>
      </c>
      <c r="F17" s="180">
        <v>-34307</v>
      </c>
      <c r="G17" s="48">
        <v>7334</v>
      </c>
      <c r="H17" s="48">
        <v>3818</v>
      </c>
      <c r="I17" s="48">
        <v>-2706</v>
      </c>
      <c r="J17" s="48">
        <v>2394</v>
      </c>
      <c r="K17" s="265">
        <v>7989</v>
      </c>
      <c r="L17" s="265">
        <v>939.57065050699748</v>
      </c>
      <c r="M17" s="265">
        <v>7106.4984891358072</v>
      </c>
      <c r="N17" s="265">
        <v>-5133.9034389578082</v>
      </c>
      <c r="O17" s="287">
        <v>34234.875088572015</v>
      </c>
      <c r="P17" s="287">
        <v>7386.0376979299981</v>
      </c>
      <c r="Q17" s="287">
        <v>4953.3214537369931</v>
      </c>
      <c r="R17" s="287">
        <v>16863.886125563004</v>
      </c>
      <c r="S17" s="14"/>
    </row>
    <row r="18" spans="2:19">
      <c r="B18" s="46" t="s">
        <v>119</v>
      </c>
      <c r="C18" s="180">
        <v>-15838</v>
      </c>
      <c r="D18" s="180">
        <v>-3277</v>
      </c>
      <c r="E18" s="180">
        <v>24497</v>
      </c>
      <c r="F18" s="180">
        <v>16235</v>
      </c>
      <c r="G18" s="48">
        <v>-19116</v>
      </c>
      <c r="H18" s="48">
        <v>-45059</v>
      </c>
      <c r="I18" s="48">
        <v>3168</v>
      </c>
      <c r="J18" s="48">
        <v>13949</v>
      </c>
      <c r="K18" s="265">
        <v>-13423</v>
      </c>
      <c r="L18" s="265">
        <v>13997.524140708105</v>
      </c>
      <c r="M18" s="265">
        <v>2291.5414323688747</v>
      </c>
      <c r="N18" s="265">
        <v>4768.206528144452</v>
      </c>
      <c r="O18" s="287">
        <v>-2484.8275113744603</v>
      </c>
      <c r="P18" s="287">
        <v>-14716.252198854971</v>
      </c>
      <c r="Q18" s="287">
        <v>1613.3353973214907</v>
      </c>
      <c r="R18" s="287">
        <v>39269.449020032574</v>
      </c>
      <c r="S18" s="14"/>
    </row>
    <row r="19" spans="2:19">
      <c r="B19" s="46" t="s">
        <v>120</v>
      </c>
      <c r="C19" s="180">
        <f>-32342+2414</f>
        <v>-29928</v>
      </c>
      <c r="D19" s="180">
        <f>605+2494</f>
        <v>3099</v>
      </c>
      <c r="E19" s="180">
        <f>-21167+4215</f>
        <v>-16952</v>
      </c>
      <c r="F19" s="180">
        <f>7251+3900</f>
        <v>11151</v>
      </c>
      <c r="G19" s="48">
        <f>10604+3224</f>
        <v>13828</v>
      </c>
      <c r="H19" s="48">
        <f>1402+3590</f>
        <v>4992</v>
      </c>
      <c r="I19" s="48">
        <v>6167</v>
      </c>
      <c r="J19" s="48">
        <v>387</v>
      </c>
      <c r="K19" s="265">
        <v>-19224</v>
      </c>
      <c r="L19" s="265">
        <v>41460.440035631975</v>
      </c>
      <c r="M19" s="265">
        <v>-26423.664882209647</v>
      </c>
      <c r="N19" s="265">
        <v>10081.890193851294</v>
      </c>
      <c r="O19" s="287">
        <v>-29176.229611380833</v>
      </c>
      <c r="P19" s="287">
        <v>-4287.3384601989783</v>
      </c>
      <c r="Q19" s="287">
        <v>15628</v>
      </c>
      <c r="R19" s="287">
        <v>5335</v>
      </c>
      <c r="S19" s="14"/>
    </row>
    <row r="20" spans="2:19">
      <c r="B20" s="54" t="s">
        <v>72</v>
      </c>
      <c r="C20" s="181">
        <f t="shared" ref="C20:J20" si="0">SUM(C5:C19)</f>
        <v>-10258</v>
      </c>
      <c r="D20" s="181">
        <f t="shared" si="0"/>
        <v>-42416</v>
      </c>
      <c r="E20" s="181">
        <f t="shared" si="0"/>
        <v>40708</v>
      </c>
      <c r="F20" s="181">
        <f t="shared" si="0"/>
        <v>49651</v>
      </c>
      <c r="G20" s="56">
        <f t="shared" si="0"/>
        <v>-12696</v>
      </c>
      <c r="H20" s="56">
        <f t="shared" si="0"/>
        <v>24182</v>
      </c>
      <c r="I20" s="56">
        <f t="shared" si="0"/>
        <v>24246</v>
      </c>
      <c r="J20" s="56">
        <f t="shared" si="0"/>
        <v>30855</v>
      </c>
      <c r="K20" s="261">
        <f t="shared" ref="K20:N20" si="1">SUM(K5:K19)</f>
        <v>-5308</v>
      </c>
      <c r="L20" s="261">
        <f t="shared" si="1"/>
        <v>29140.259968747079</v>
      </c>
      <c r="M20" s="261">
        <f t="shared" si="1"/>
        <v>36007.914991940066</v>
      </c>
      <c r="N20" s="261">
        <f t="shared" si="1"/>
        <v>28006.149293527145</v>
      </c>
      <c r="O20" s="283">
        <f t="shared" ref="O20:R20" si="2">SUM(O5:O19)</f>
        <v>35155.002800322407</v>
      </c>
      <c r="P20" s="283">
        <f t="shared" si="2"/>
        <v>-9643.1147787204427</v>
      </c>
      <c r="Q20" s="283">
        <f t="shared" si="2"/>
        <v>-10653.434199887277</v>
      </c>
      <c r="R20" s="283">
        <f t="shared" si="2"/>
        <v>63138.242786740935</v>
      </c>
      <c r="S20" s="14"/>
    </row>
    <row r="21" spans="2:19">
      <c r="B21" s="46"/>
      <c r="C21" s="180"/>
      <c r="D21" s="180"/>
      <c r="E21" s="180"/>
      <c r="F21" s="180"/>
      <c r="G21" s="48"/>
      <c r="H21" s="48"/>
      <c r="I21" s="48"/>
      <c r="J21" s="48"/>
      <c r="K21" s="265"/>
      <c r="L21" s="265"/>
      <c r="M21" s="265"/>
      <c r="N21" s="265"/>
      <c r="O21" s="287"/>
      <c r="P21" s="287"/>
      <c r="Q21" s="287"/>
      <c r="R21" s="287"/>
      <c r="S21" s="14"/>
    </row>
    <row r="22" spans="2:19">
      <c r="B22" s="46" t="s">
        <v>73</v>
      </c>
      <c r="C22" s="180">
        <f>-7568-1299</f>
        <v>-8867</v>
      </c>
      <c r="D22" s="180">
        <f>-3096-1025</f>
        <v>-4121</v>
      </c>
      <c r="E22" s="180">
        <f>-5968-1701</f>
        <v>-7669</v>
      </c>
      <c r="F22" s="180">
        <f>-13242-1555</f>
        <v>-14797</v>
      </c>
      <c r="G22" s="48">
        <v>-5655</v>
      </c>
      <c r="H22" s="48">
        <v>-5312</v>
      </c>
      <c r="I22" s="48">
        <v>-5638</v>
      </c>
      <c r="J22" s="48">
        <v>-7406</v>
      </c>
      <c r="K22" s="265">
        <v>-6775</v>
      </c>
      <c r="L22" s="265">
        <v>-5222</v>
      </c>
      <c r="M22" s="265">
        <v>-7743</v>
      </c>
      <c r="N22" s="265">
        <v>-16271</v>
      </c>
      <c r="O22" s="287">
        <v>-12072</v>
      </c>
      <c r="P22" s="287">
        <v>-13208</v>
      </c>
      <c r="Q22" s="287">
        <v>-17902</v>
      </c>
      <c r="R22" s="287">
        <v>-27645</v>
      </c>
      <c r="S22" s="14"/>
    </row>
    <row r="23" spans="2:19">
      <c r="B23" s="46" t="s">
        <v>141</v>
      </c>
      <c r="C23" s="180"/>
      <c r="D23" s="180">
        <v>-44765</v>
      </c>
      <c r="E23" s="180"/>
      <c r="F23" s="180"/>
      <c r="G23" s="48">
        <v>0</v>
      </c>
      <c r="H23" s="48">
        <v>-32491</v>
      </c>
      <c r="I23" s="48"/>
      <c r="J23" s="48"/>
      <c r="K23" s="265">
        <v>0</v>
      </c>
      <c r="L23" s="265"/>
      <c r="M23" s="265">
        <v>0</v>
      </c>
      <c r="N23" s="265"/>
      <c r="O23" s="287"/>
      <c r="P23" s="287"/>
      <c r="Q23" s="287"/>
      <c r="R23" s="287"/>
      <c r="S23" s="14"/>
    </row>
    <row r="24" spans="2:19">
      <c r="B24" s="46" t="s">
        <v>142</v>
      </c>
      <c r="C24" s="180">
        <v>0</v>
      </c>
      <c r="D24" s="180">
        <v>0</v>
      </c>
      <c r="E24" s="180">
        <v>0</v>
      </c>
      <c r="F24" s="180"/>
      <c r="G24" s="48">
        <v>0</v>
      </c>
      <c r="H24" s="48">
        <v>0</v>
      </c>
      <c r="I24" s="48"/>
      <c r="J24" s="48"/>
      <c r="K24" s="265">
        <v>0</v>
      </c>
      <c r="L24" s="265"/>
      <c r="M24" s="265"/>
      <c r="N24" s="265"/>
      <c r="O24" s="287">
        <v>0</v>
      </c>
      <c r="P24" s="287"/>
      <c r="Q24" s="287"/>
      <c r="R24" s="287"/>
      <c r="S24" s="14"/>
    </row>
    <row r="25" spans="2:19">
      <c r="B25" s="54" t="s">
        <v>74</v>
      </c>
      <c r="C25" s="181">
        <f t="shared" ref="C25:J25" si="3">SUM(C22:C24)</f>
        <v>-8867</v>
      </c>
      <c r="D25" s="181">
        <f t="shared" si="3"/>
        <v>-48886</v>
      </c>
      <c r="E25" s="181">
        <f t="shared" si="3"/>
        <v>-7669</v>
      </c>
      <c r="F25" s="181">
        <f t="shared" si="3"/>
        <v>-14797</v>
      </c>
      <c r="G25" s="56">
        <f t="shared" si="3"/>
        <v>-5655</v>
      </c>
      <c r="H25" s="56">
        <f t="shared" si="3"/>
        <v>-37803</v>
      </c>
      <c r="I25" s="56">
        <f t="shared" si="3"/>
        <v>-5638</v>
      </c>
      <c r="J25" s="56">
        <f t="shared" si="3"/>
        <v>-7406</v>
      </c>
      <c r="K25" s="261">
        <f t="shared" ref="K25:N25" si="4">SUM(K22:K24)</f>
        <v>-6775</v>
      </c>
      <c r="L25" s="261">
        <f t="shared" si="4"/>
        <v>-5222</v>
      </c>
      <c r="M25" s="261">
        <f t="shared" si="4"/>
        <v>-7743</v>
      </c>
      <c r="N25" s="261">
        <f t="shared" si="4"/>
        <v>-16271</v>
      </c>
      <c r="O25" s="283">
        <f t="shared" ref="O25:R25" si="5">SUM(O22:O24)</f>
        <v>-12072</v>
      </c>
      <c r="P25" s="283">
        <f t="shared" si="5"/>
        <v>-13208</v>
      </c>
      <c r="Q25" s="283">
        <f t="shared" si="5"/>
        <v>-17902</v>
      </c>
      <c r="R25" s="283">
        <f t="shared" si="5"/>
        <v>-27645</v>
      </c>
      <c r="S25" s="14"/>
    </row>
    <row r="26" spans="2:19">
      <c r="B26" s="46"/>
      <c r="C26" s="180"/>
      <c r="D26" s="180"/>
      <c r="E26" s="180"/>
      <c r="F26" s="180"/>
      <c r="G26" s="48"/>
      <c r="H26" s="48"/>
      <c r="I26" s="48"/>
      <c r="J26" s="48"/>
      <c r="K26" s="265"/>
      <c r="L26" s="265"/>
      <c r="M26" s="265"/>
      <c r="N26" s="265"/>
      <c r="O26" s="287"/>
      <c r="P26" s="287"/>
      <c r="Q26" s="287"/>
      <c r="R26" s="287"/>
      <c r="S26" s="14"/>
    </row>
    <row r="27" spans="2:19">
      <c r="B27" s="46" t="s">
        <v>121</v>
      </c>
      <c r="C27" s="180">
        <v>39764</v>
      </c>
      <c r="D27" s="180">
        <v>29269</v>
      </c>
      <c r="E27" s="180">
        <v>4000</v>
      </c>
      <c r="F27" s="180">
        <v>0</v>
      </c>
      <c r="G27" s="48">
        <v>35064</v>
      </c>
      <c r="H27" s="48">
        <v>147050</v>
      </c>
      <c r="I27" s="48">
        <v>0</v>
      </c>
      <c r="J27" s="48">
        <v>0</v>
      </c>
      <c r="K27" s="265">
        <v>9011</v>
      </c>
      <c r="L27" s="265">
        <v>0</v>
      </c>
      <c r="M27" s="265">
        <v>144998.75</v>
      </c>
      <c r="N27" s="265"/>
      <c r="O27" s="287">
        <v>0</v>
      </c>
      <c r="P27" s="287">
        <v>15549</v>
      </c>
      <c r="Q27" s="287">
        <v>28509.876230000002</v>
      </c>
      <c r="R27" s="287">
        <v>57.281500000000001</v>
      </c>
      <c r="S27" s="14"/>
    </row>
    <row r="28" spans="2:19">
      <c r="B28" s="46" t="s">
        <v>122</v>
      </c>
      <c r="C28" s="180">
        <v>0</v>
      </c>
      <c r="D28" s="180">
        <v>-7500</v>
      </c>
      <c r="E28" s="180">
        <v>-23248</v>
      </c>
      <c r="F28" s="180">
        <v>-25785</v>
      </c>
      <c r="G28" s="48">
        <v>0</v>
      </c>
      <c r="H28" s="48">
        <v>-94585</v>
      </c>
      <c r="I28" s="48">
        <v>-8500</v>
      </c>
      <c r="J28" s="48">
        <v>-12500</v>
      </c>
      <c r="K28" s="265">
        <v>-8500</v>
      </c>
      <c r="L28" s="265">
        <v>0</v>
      </c>
      <c r="M28" s="265">
        <v>-144478.75</v>
      </c>
      <c r="N28" s="265">
        <v>-4742</v>
      </c>
      <c r="O28" s="287">
        <v>-4701.9825000000001</v>
      </c>
      <c r="P28" s="287">
        <v>-4849</v>
      </c>
      <c r="Q28" s="287">
        <v>-5158.4250000000002</v>
      </c>
      <c r="R28" s="287">
        <v>0</v>
      </c>
      <c r="S28" s="14"/>
    </row>
    <row r="29" spans="2:19">
      <c r="B29" s="46" t="s">
        <v>140</v>
      </c>
      <c r="C29" s="180">
        <v>0</v>
      </c>
      <c r="D29" s="180">
        <v>0</v>
      </c>
      <c r="E29" s="180">
        <v>0</v>
      </c>
      <c r="F29" s="180"/>
      <c r="G29" s="48">
        <v>0</v>
      </c>
      <c r="H29" s="48">
        <v>10727</v>
      </c>
      <c r="I29" s="48">
        <v>0</v>
      </c>
      <c r="J29" s="48"/>
      <c r="K29" s="265">
        <v>0</v>
      </c>
      <c r="L29" s="265">
        <v>-9011</v>
      </c>
      <c r="M29" s="265"/>
      <c r="N29" s="265"/>
      <c r="O29" s="287">
        <v>-5916</v>
      </c>
      <c r="P29" s="287">
        <v>0</v>
      </c>
      <c r="Q29" s="287">
        <v>0</v>
      </c>
      <c r="R29" s="287">
        <v>-4976.4075000000003</v>
      </c>
      <c r="S29" s="14"/>
    </row>
    <row r="30" spans="2:19">
      <c r="B30" s="46" t="s">
        <v>143</v>
      </c>
      <c r="C30" s="180">
        <v>-4678</v>
      </c>
      <c r="D30" s="180">
        <v>-5081</v>
      </c>
      <c r="E30" s="180">
        <v>-5011</v>
      </c>
      <c r="F30" s="180">
        <v>-5031</v>
      </c>
      <c r="G30" s="48">
        <v>-5128</v>
      </c>
      <c r="H30" s="48">
        <v>-5883</v>
      </c>
      <c r="I30" s="48">
        <v>-4849</v>
      </c>
      <c r="J30" s="48">
        <v>-6003</v>
      </c>
      <c r="K30" s="265">
        <v>-5575</v>
      </c>
      <c r="L30" s="265">
        <v>-5235</v>
      </c>
      <c r="M30" s="265">
        <v>-6135</v>
      </c>
      <c r="N30" s="265">
        <v>-6694</v>
      </c>
      <c r="O30" s="287">
        <v>158</v>
      </c>
      <c r="P30" s="287">
        <v>-5541</v>
      </c>
      <c r="Q30" s="287">
        <v>-6598.7316459161411</v>
      </c>
      <c r="R30" s="287">
        <v>-6381.357</v>
      </c>
      <c r="S30" s="14"/>
    </row>
    <row r="31" spans="2:19">
      <c r="B31" s="46" t="s">
        <v>144</v>
      </c>
      <c r="C31" s="180">
        <v>-2414</v>
      </c>
      <c r="D31" s="180">
        <v>-2494</v>
      </c>
      <c r="E31" s="180">
        <v>-4215</v>
      </c>
      <c r="F31" s="180">
        <v>-3900</v>
      </c>
      <c r="G31" s="48">
        <v>-3224</v>
      </c>
      <c r="H31" s="48">
        <v>-3590</v>
      </c>
      <c r="I31" s="48">
        <v>-3094</v>
      </c>
      <c r="J31" s="48">
        <v>-3792</v>
      </c>
      <c r="K31" s="265">
        <f>377-2036</f>
        <v>-1659</v>
      </c>
      <c r="L31" s="265">
        <v>-1716</v>
      </c>
      <c r="M31" s="265">
        <v>-1716</v>
      </c>
      <c r="N31" s="265">
        <v>-2060</v>
      </c>
      <c r="O31" s="287">
        <v>-1955</v>
      </c>
      <c r="P31" s="287">
        <v>-1732</v>
      </c>
      <c r="Q31" s="287">
        <v>-5607</v>
      </c>
      <c r="R31" s="287">
        <v>-2243</v>
      </c>
      <c r="S31" s="14"/>
    </row>
    <row r="32" spans="2:19">
      <c r="B32" s="54" t="s">
        <v>123</v>
      </c>
      <c r="C32" s="181">
        <f t="shared" ref="C32:I32" si="6">SUM(C27:C31)</f>
        <v>32672</v>
      </c>
      <c r="D32" s="181">
        <f t="shared" si="6"/>
        <v>14194</v>
      </c>
      <c r="E32" s="181">
        <f t="shared" si="6"/>
        <v>-28474</v>
      </c>
      <c r="F32" s="181">
        <f t="shared" si="6"/>
        <v>-34716</v>
      </c>
      <c r="G32" s="56">
        <f t="shared" si="6"/>
        <v>26712</v>
      </c>
      <c r="H32" s="56">
        <f t="shared" si="6"/>
        <v>53719</v>
      </c>
      <c r="I32" s="56">
        <f t="shared" si="6"/>
        <v>-16443</v>
      </c>
      <c r="J32" s="56">
        <f>SUM(J27:J31)</f>
        <v>-22295</v>
      </c>
      <c r="K32" s="261">
        <f t="shared" ref="K32:M32" si="7">SUM(K27:K31)</f>
        <v>-6723</v>
      </c>
      <c r="L32" s="261">
        <f>SUM(L27:L31)</f>
        <v>-15962</v>
      </c>
      <c r="M32" s="261">
        <f t="shared" si="7"/>
        <v>-7331</v>
      </c>
      <c r="N32" s="261">
        <f>SUM(N27:N31)</f>
        <v>-13496</v>
      </c>
      <c r="O32" s="283">
        <f t="shared" ref="O32:P32" si="8">SUM(O27:O31)</f>
        <v>-12414.9825</v>
      </c>
      <c r="P32" s="283">
        <f t="shared" si="8"/>
        <v>3427</v>
      </c>
      <c r="Q32" s="283">
        <f t="shared" ref="Q32:R32" si="9">SUM(Q27:Q31)</f>
        <v>11145.719584083861</v>
      </c>
      <c r="R32" s="283">
        <f t="shared" si="9"/>
        <v>-13543.483</v>
      </c>
      <c r="S32" s="14"/>
    </row>
    <row r="33" spans="2:19">
      <c r="B33" s="42"/>
      <c r="C33" s="195"/>
      <c r="D33" s="195"/>
      <c r="E33" s="179"/>
      <c r="F33" s="179"/>
      <c r="G33" s="44"/>
      <c r="H33" s="44"/>
      <c r="I33" s="44"/>
      <c r="J33" s="44"/>
      <c r="K33" s="271"/>
      <c r="L33" s="271"/>
      <c r="M33" s="271"/>
      <c r="N33" s="271"/>
      <c r="O33" s="292"/>
      <c r="P33" s="292"/>
      <c r="Q33" s="292"/>
      <c r="R33" s="292"/>
      <c r="S33" s="14"/>
    </row>
    <row r="34" spans="2:19">
      <c r="B34" s="62" t="s">
        <v>124</v>
      </c>
      <c r="C34" s="179">
        <v>-1083</v>
      </c>
      <c r="D34" s="179">
        <v>-204</v>
      </c>
      <c r="E34" s="179">
        <v>2456</v>
      </c>
      <c r="F34" s="184">
        <v>-960</v>
      </c>
      <c r="G34" s="44">
        <v>3139</v>
      </c>
      <c r="H34" s="44">
        <v>-6502</v>
      </c>
      <c r="I34" s="63">
        <v>2968</v>
      </c>
      <c r="J34" s="44">
        <v>-7473</v>
      </c>
      <c r="K34" s="271">
        <v>-3211</v>
      </c>
      <c r="L34" s="271">
        <v>705</v>
      </c>
      <c r="M34" s="262">
        <v>1608</v>
      </c>
      <c r="N34" s="271">
        <v>-373</v>
      </c>
      <c r="O34" s="292">
        <v>-782</v>
      </c>
      <c r="P34" s="292">
        <v>356</v>
      </c>
      <c r="Q34" s="284">
        <v>1100</v>
      </c>
      <c r="R34" s="292">
        <v>-2091.0079999999998</v>
      </c>
      <c r="S34" s="14"/>
    </row>
    <row r="35" spans="2:19">
      <c r="B35" s="62"/>
      <c r="C35" s="179"/>
      <c r="D35" s="179"/>
      <c r="E35" s="179"/>
      <c r="F35" s="184"/>
      <c r="G35" s="44"/>
      <c r="H35" s="44"/>
      <c r="I35" s="63"/>
      <c r="J35" s="44"/>
      <c r="K35" s="271"/>
      <c r="L35" s="271"/>
      <c r="M35" s="262"/>
      <c r="N35" s="271"/>
      <c r="O35" s="292"/>
      <c r="P35" s="292"/>
      <c r="Q35" s="284"/>
      <c r="R35" s="292"/>
      <c r="S35" s="14"/>
    </row>
    <row r="36" spans="2:19">
      <c r="B36" s="62" t="s">
        <v>125</v>
      </c>
      <c r="C36" s="179">
        <f t="shared" ref="C36:J36" si="10">+C20+C25+C32+C34</f>
        <v>12464</v>
      </c>
      <c r="D36" s="179">
        <f t="shared" si="10"/>
        <v>-77312</v>
      </c>
      <c r="E36" s="179">
        <f t="shared" si="10"/>
        <v>7021</v>
      </c>
      <c r="F36" s="179">
        <f t="shared" si="10"/>
        <v>-822</v>
      </c>
      <c r="G36" s="44">
        <f t="shared" si="10"/>
        <v>11500</v>
      </c>
      <c r="H36" s="44">
        <f t="shared" si="10"/>
        <v>33596</v>
      </c>
      <c r="I36" s="44">
        <f t="shared" si="10"/>
        <v>5133</v>
      </c>
      <c r="J36" s="44">
        <f t="shared" si="10"/>
        <v>-6319</v>
      </c>
      <c r="K36" s="271">
        <v>-22016</v>
      </c>
      <c r="L36" s="271">
        <v>8661.2599687470793</v>
      </c>
      <c r="M36" s="271">
        <v>22541.914991940066</v>
      </c>
      <c r="N36" s="271">
        <v>-2133.8507064728547</v>
      </c>
      <c r="O36" s="292">
        <f>+O20+O25+O32+O34</f>
        <v>9886.0203003224069</v>
      </c>
      <c r="P36" s="292">
        <f t="shared" ref="P36:R36" si="11">+P20+P25+P32+P34</f>
        <v>-19068.114778720443</v>
      </c>
      <c r="Q36" s="292">
        <f t="shared" si="11"/>
        <v>-16309.714615803416</v>
      </c>
      <c r="R36" s="292">
        <f t="shared" si="11"/>
        <v>19858.751786740933</v>
      </c>
      <c r="S36" s="14"/>
    </row>
    <row r="37" spans="2:19">
      <c r="B37" s="27" t="s">
        <v>126</v>
      </c>
      <c r="C37" s="185">
        <v>89700</v>
      </c>
      <c r="D37" s="185">
        <f t="shared" ref="D37:E37" si="12">C39</f>
        <v>102164</v>
      </c>
      <c r="E37" s="185">
        <f t="shared" si="12"/>
        <v>24852</v>
      </c>
      <c r="F37" s="185">
        <f>E39</f>
        <v>31873</v>
      </c>
      <c r="G37" s="77">
        <f>F39</f>
        <v>31051</v>
      </c>
      <c r="H37" s="77">
        <f>G39</f>
        <v>42551</v>
      </c>
      <c r="I37" s="77">
        <f>H39</f>
        <v>76147</v>
      </c>
      <c r="J37" s="77">
        <v>81280</v>
      </c>
      <c r="K37" s="324">
        <f>J39</f>
        <v>74961</v>
      </c>
      <c r="L37" s="324">
        <f>K39</f>
        <v>52945</v>
      </c>
      <c r="M37" s="324">
        <f>L39</f>
        <v>61606.259968747079</v>
      </c>
      <c r="N37" s="324">
        <v>84148.42519896508</v>
      </c>
      <c r="O37" s="336">
        <f>N39</f>
        <v>82014.574492492218</v>
      </c>
      <c r="P37" s="336">
        <f>O39</f>
        <v>91900.59479281462</v>
      </c>
      <c r="Q37" s="336">
        <f>P39</f>
        <v>72832.480014094181</v>
      </c>
      <c r="R37" s="336">
        <f>Q39</f>
        <v>56522.765398290765</v>
      </c>
      <c r="S37" s="14"/>
    </row>
    <row r="38" spans="2:19">
      <c r="B38" s="33" t="s">
        <v>75</v>
      </c>
      <c r="C38" s="253">
        <v>0</v>
      </c>
      <c r="D38" s="253">
        <v>0</v>
      </c>
      <c r="E38" s="185">
        <v>0</v>
      </c>
      <c r="F38" s="186">
        <v>0</v>
      </c>
      <c r="G38" s="77">
        <v>0</v>
      </c>
      <c r="H38" s="77">
        <v>0</v>
      </c>
      <c r="I38" s="76">
        <v>0</v>
      </c>
      <c r="J38" s="77">
        <v>0</v>
      </c>
      <c r="K38" s="324">
        <v>0</v>
      </c>
      <c r="L38" s="324"/>
      <c r="M38" s="323"/>
      <c r="N38" s="324"/>
      <c r="O38" s="336">
        <v>0</v>
      </c>
      <c r="P38" s="336"/>
      <c r="Q38" s="335"/>
      <c r="R38" s="336"/>
      <c r="S38" s="14"/>
    </row>
    <row r="39" spans="2:19" ht="15" thickBot="1">
      <c r="B39" s="74" t="s">
        <v>127</v>
      </c>
      <c r="C39" s="187">
        <f t="shared" ref="C39:E39" si="13">SUM(C36:C38)</f>
        <v>102164</v>
      </c>
      <c r="D39" s="188">
        <f t="shared" si="13"/>
        <v>24852</v>
      </c>
      <c r="E39" s="188">
        <f t="shared" si="13"/>
        <v>31873</v>
      </c>
      <c r="F39" s="189">
        <f>SUM(F36:F38)</f>
        <v>31051</v>
      </c>
      <c r="G39" s="87">
        <f t="shared" ref="G39:J39" si="14">SUM(G36:G38)</f>
        <v>42551</v>
      </c>
      <c r="H39" s="87">
        <f t="shared" si="14"/>
        <v>76147</v>
      </c>
      <c r="I39" s="86">
        <f t="shared" si="14"/>
        <v>81280</v>
      </c>
      <c r="J39" s="87">
        <f t="shared" si="14"/>
        <v>74961</v>
      </c>
      <c r="K39" s="331">
        <f t="shared" ref="K39:N39" si="15">SUM(K36:K38)</f>
        <v>52945</v>
      </c>
      <c r="L39" s="331">
        <f t="shared" si="15"/>
        <v>61606.259968747079</v>
      </c>
      <c r="M39" s="332">
        <f t="shared" si="15"/>
        <v>84148.174960687145</v>
      </c>
      <c r="N39" s="331">
        <f t="shared" si="15"/>
        <v>82014.574492492218</v>
      </c>
      <c r="O39" s="345">
        <f t="shared" ref="O39:R39" si="16">SUM(O36:O38)</f>
        <v>91900.59479281462</v>
      </c>
      <c r="P39" s="345">
        <f t="shared" si="16"/>
        <v>72832.480014094181</v>
      </c>
      <c r="Q39" s="346">
        <f t="shared" si="16"/>
        <v>56522.765398290765</v>
      </c>
      <c r="R39" s="345">
        <f t="shared" si="16"/>
        <v>76381.517185031698</v>
      </c>
      <c r="S39" s="14"/>
    </row>
    <row r="40" spans="2:19" ht="49.65" customHeight="1" thickTop="1">
      <c r="B40" s="415" t="s">
        <v>22</v>
      </c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</row>
    <row r="43" spans="2:19">
      <c r="C43" s="252"/>
    </row>
    <row r="44" spans="2:19">
      <c r="C44" s="12"/>
    </row>
  </sheetData>
  <mergeCells count="5">
    <mergeCell ref="G3:J3"/>
    <mergeCell ref="B40:S40"/>
    <mergeCell ref="C3:F3"/>
    <mergeCell ref="K3:N3"/>
    <mergeCell ref="O3:R3"/>
  </mergeCells>
  <pageMargins left="0.7" right="0.7" top="0.75" bottom="0.75" header="0.3" footer="0.3"/>
  <pageSetup paperSize="9" scale="55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14"/>
  <sheetViews>
    <sheetView view="pageBreakPreview" zoomScale="90" zoomScaleNormal="100" zoomScaleSheetLayoutView="90" workbookViewId="0">
      <selection activeCell="S26" sqref="S26"/>
    </sheetView>
  </sheetViews>
  <sheetFormatPr defaultColWidth="9.07421875" defaultRowHeight="14.6"/>
  <cols>
    <col min="1" max="1" width="2.4609375" customWidth="1"/>
    <col min="2" max="2" width="46" customWidth="1"/>
    <col min="3" max="18" width="10.53515625" customWidth="1"/>
    <col min="19" max="19" width="3" customWidth="1"/>
  </cols>
  <sheetData>
    <row r="1" spans="2:19" ht="15" thickBot="1"/>
    <row r="2" spans="2:19" ht="15.9" thickBot="1">
      <c r="B2" s="110" t="s">
        <v>78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4"/>
    </row>
    <row r="3" spans="2:19" ht="15" thickBot="1">
      <c r="B3" s="37" t="s">
        <v>23</v>
      </c>
      <c r="C3" s="406">
        <v>2019</v>
      </c>
      <c r="D3" s="407"/>
      <c r="E3" s="407"/>
      <c r="F3" s="408"/>
      <c r="G3" s="398">
        <v>2020</v>
      </c>
      <c r="H3" s="399"/>
      <c r="I3" s="399"/>
      <c r="J3" s="400"/>
      <c r="K3" s="409">
        <v>2021</v>
      </c>
      <c r="L3" s="410"/>
      <c r="M3" s="410"/>
      <c r="N3" s="411"/>
      <c r="O3" s="412">
        <v>2022</v>
      </c>
      <c r="P3" s="413"/>
      <c r="Q3" s="413"/>
      <c r="R3" s="413"/>
      <c r="S3" s="14"/>
    </row>
    <row r="4" spans="2:19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7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14"/>
    </row>
    <row r="5" spans="2:19">
      <c r="B5" s="42"/>
      <c r="C5" s="179"/>
      <c r="D5" s="179"/>
      <c r="E5" s="179"/>
      <c r="F5" s="179"/>
      <c r="G5" s="44"/>
      <c r="H5" s="44"/>
      <c r="I5" s="44"/>
      <c r="J5" s="44"/>
      <c r="K5" s="271"/>
      <c r="L5" s="271"/>
      <c r="M5" s="271"/>
      <c r="N5" s="271"/>
      <c r="O5" s="292"/>
      <c r="P5" s="292"/>
      <c r="Q5" s="292"/>
      <c r="R5" s="292"/>
      <c r="S5" s="14"/>
    </row>
    <row r="6" spans="2:19">
      <c r="B6" s="46" t="s">
        <v>79</v>
      </c>
      <c r="C6" s="180">
        <v>-1047</v>
      </c>
      <c r="D6" s="180">
        <v>1234</v>
      </c>
      <c r="E6" s="180">
        <v>849</v>
      </c>
      <c r="F6" s="180">
        <f>232-1992</f>
        <v>-1760</v>
      </c>
      <c r="G6" s="48">
        <f>5647-2761</f>
        <v>2886</v>
      </c>
      <c r="H6" s="48">
        <f>5191-5618</f>
        <v>-427</v>
      </c>
      <c r="I6" s="48">
        <v>-241</v>
      </c>
      <c r="J6" s="48">
        <v>-2656</v>
      </c>
      <c r="K6" s="265">
        <f>3205-1965</f>
        <v>1240</v>
      </c>
      <c r="L6" s="265">
        <f>3794-2184</f>
        <v>1610</v>
      </c>
      <c r="M6" s="265">
        <v>-994</v>
      </c>
      <c r="N6" s="265">
        <v>-2042</v>
      </c>
      <c r="O6" s="287">
        <f>1235-0</f>
        <v>1235</v>
      </c>
      <c r="P6" s="287">
        <v>-850</v>
      </c>
      <c r="Q6" s="287">
        <v>2099</v>
      </c>
      <c r="R6" s="287">
        <v>-603</v>
      </c>
      <c r="S6" s="14"/>
    </row>
    <row r="7" spans="2:19">
      <c r="B7" s="46" t="s">
        <v>80</v>
      </c>
      <c r="C7" s="180">
        <v>-2403</v>
      </c>
      <c r="D7" s="180">
        <v>-2842</v>
      </c>
      <c r="E7" s="180">
        <v>10061</v>
      </c>
      <c r="F7" s="180">
        <v>1147</v>
      </c>
      <c r="G7" s="48">
        <f>42688-23865</f>
        <v>18823</v>
      </c>
      <c r="H7" s="48">
        <v>-3719</v>
      </c>
      <c r="I7" s="48">
        <v>-12705</v>
      </c>
      <c r="J7" s="48">
        <v>-2487</v>
      </c>
      <c r="K7" s="265">
        <f>568-1758</f>
        <v>-1190</v>
      </c>
      <c r="L7" s="265">
        <f>501-2995</f>
        <v>-2494</v>
      </c>
      <c r="M7" s="265">
        <v>4174</v>
      </c>
      <c r="N7" s="265">
        <v>973</v>
      </c>
      <c r="O7" s="287">
        <f>-751-2581</f>
        <v>-3332</v>
      </c>
      <c r="P7" s="287">
        <v>248</v>
      </c>
      <c r="Q7" s="287">
        <v>1180</v>
      </c>
      <c r="R7" s="287">
        <v>-2876</v>
      </c>
      <c r="S7" s="14"/>
    </row>
    <row r="8" spans="2:19">
      <c r="B8" s="46" t="s">
        <v>81</v>
      </c>
      <c r="C8" s="180">
        <v>-94</v>
      </c>
      <c r="D8" s="180">
        <v>-95</v>
      </c>
      <c r="E8" s="180">
        <v>9507</v>
      </c>
      <c r="F8" s="180">
        <v>7896</v>
      </c>
      <c r="G8" s="48">
        <v>-3671</v>
      </c>
      <c r="H8" s="48">
        <v>3671</v>
      </c>
      <c r="I8" s="48"/>
      <c r="J8" s="48"/>
      <c r="K8" s="265">
        <v>0</v>
      </c>
      <c r="L8" s="265"/>
      <c r="M8" s="265"/>
      <c r="N8" s="265"/>
      <c r="O8" s="287"/>
      <c r="P8" s="287"/>
      <c r="Q8" s="287"/>
      <c r="R8" s="287"/>
      <c r="S8" s="14"/>
    </row>
    <row r="9" spans="2:19">
      <c r="B9" s="46" t="s">
        <v>82</v>
      </c>
      <c r="C9" s="180">
        <v>59</v>
      </c>
      <c r="D9" s="180">
        <v>42</v>
      </c>
      <c r="E9" s="180">
        <v>132</v>
      </c>
      <c r="F9" s="180">
        <v>-99</v>
      </c>
      <c r="G9" s="48">
        <v>29</v>
      </c>
      <c r="H9" s="48">
        <v>174</v>
      </c>
      <c r="I9" s="48">
        <v>759</v>
      </c>
      <c r="J9" s="48">
        <v>254</v>
      </c>
      <c r="K9" s="265">
        <v>377</v>
      </c>
      <c r="L9" s="265">
        <v>-115</v>
      </c>
      <c r="M9" s="265">
        <v>113</v>
      </c>
      <c r="N9" s="265">
        <v>116</v>
      </c>
      <c r="O9" s="287">
        <v>158</v>
      </c>
      <c r="P9" s="287">
        <v>57</v>
      </c>
      <c r="Q9" s="287">
        <v>72.118738807799957</v>
      </c>
      <c r="R9" s="287">
        <v>189.32718600320004</v>
      </c>
      <c r="S9" s="14"/>
    </row>
    <row r="10" spans="2:19">
      <c r="B10" s="46" t="s">
        <v>83</v>
      </c>
      <c r="C10" s="180">
        <v>-3640</v>
      </c>
      <c r="D10" s="180">
        <v>-3721</v>
      </c>
      <c r="E10" s="180">
        <v>-5287</v>
      </c>
      <c r="F10" s="180">
        <v>-5607</v>
      </c>
      <c r="G10" s="48">
        <f>-4215-2252-457</f>
        <v>-6924</v>
      </c>
      <c r="H10" s="48">
        <f>-1286-3320-3770</f>
        <v>-8376</v>
      </c>
      <c r="I10" s="48">
        <v>-3498</v>
      </c>
      <c r="J10" s="48">
        <v>-5539</v>
      </c>
      <c r="K10" s="265">
        <f>-516-1783-1101-253</f>
        <v>-3653</v>
      </c>
      <c r="L10" s="265">
        <f>-325-1716-707</f>
        <v>-2748</v>
      </c>
      <c r="M10" s="265">
        <v>-3172</v>
      </c>
      <c r="N10" s="265">
        <v>-2895</v>
      </c>
      <c r="O10" s="287">
        <f>-593-1362+1990</f>
        <v>35</v>
      </c>
      <c r="P10" s="287">
        <v>-2890</v>
      </c>
      <c r="Q10" s="287">
        <v>-7558</v>
      </c>
      <c r="R10" s="287">
        <v>-7321</v>
      </c>
      <c r="S10" s="14"/>
    </row>
    <row r="11" spans="2:19">
      <c r="B11" s="54" t="s">
        <v>84</v>
      </c>
      <c r="C11" s="181">
        <f>SUM(C6:C10)</f>
        <v>-7125</v>
      </c>
      <c r="D11" s="181">
        <f>SUM(D6:D10)</f>
        <v>-5382</v>
      </c>
      <c r="E11" s="181">
        <f t="shared" ref="E11:J11" si="0">SUM(E6:E10)</f>
        <v>15262</v>
      </c>
      <c r="F11" s="181">
        <f t="shared" si="0"/>
        <v>1577</v>
      </c>
      <c r="G11" s="56">
        <f t="shared" si="0"/>
        <v>11143</v>
      </c>
      <c r="H11" s="56">
        <f t="shared" si="0"/>
        <v>-8677</v>
      </c>
      <c r="I11" s="56">
        <f t="shared" si="0"/>
        <v>-15685</v>
      </c>
      <c r="J11" s="56">
        <f t="shared" si="0"/>
        <v>-10428</v>
      </c>
      <c r="K11" s="261">
        <f>SUM(K6:K10)</f>
        <v>-3226</v>
      </c>
      <c r="L11" s="261">
        <f t="shared" ref="L11:N11" si="1">SUM(L6:L10)</f>
        <v>-3747</v>
      </c>
      <c r="M11" s="261">
        <f t="shared" si="1"/>
        <v>121</v>
      </c>
      <c r="N11" s="261">
        <f t="shared" si="1"/>
        <v>-3848</v>
      </c>
      <c r="O11" s="283">
        <f>SUM(O6:O10)</f>
        <v>-1904</v>
      </c>
      <c r="P11" s="283">
        <f t="shared" ref="P11:R11" si="2">SUM(P6:P10)</f>
        <v>-3435</v>
      </c>
      <c r="Q11" s="283">
        <f t="shared" si="2"/>
        <v>-4206.8812611922003</v>
      </c>
      <c r="R11" s="283">
        <f t="shared" si="2"/>
        <v>-10610.6728139968</v>
      </c>
      <c r="S11" s="14"/>
    </row>
    <row r="12" spans="2:19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14"/>
    </row>
    <row r="13" spans="2:19">
      <c r="B13" s="95"/>
      <c r="C13" s="182"/>
      <c r="D13" s="182"/>
      <c r="E13" s="182"/>
      <c r="F13" s="182"/>
      <c r="G13" s="75"/>
      <c r="H13" s="75"/>
      <c r="I13" s="75"/>
      <c r="J13" s="75"/>
      <c r="K13" s="330"/>
      <c r="L13" s="330"/>
      <c r="M13" s="330"/>
      <c r="N13" s="330"/>
      <c r="O13" s="343"/>
      <c r="P13" s="343"/>
      <c r="Q13" s="343"/>
      <c r="R13" s="343"/>
      <c r="S13" s="14"/>
    </row>
    <row r="14" spans="2:19" ht="69.650000000000006" customHeight="1">
      <c r="B14" s="415" t="s">
        <v>22</v>
      </c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</row>
  </sheetData>
  <mergeCells count="5">
    <mergeCell ref="B14:S14"/>
    <mergeCell ref="C3:F3"/>
    <mergeCell ref="G3:J3"/>
    <mergeCell ref="K3:N3"/>
    <mergeCell ref="O3:R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16"/>
  <sheetViews>
    <sheetView tabSelected="1" view="pageBreakPreview" zoomScale="90" zoomScaleNormal="100" zoomScaleSheetLayoutView="90" workbookViewId="0">
      <selection activeCell="R11" sqref="R11"/>
    </sheetView>
  </sheetViews>
  <sheetFormatPr defaultColWidth="9.07421875" defaultRowHeight="14.6"/>
  <cols>
    <col min="1" max="1" width="2.4609375" customWidth="1"/>
    <col min="2" max="2" width="46" customWidth="1"/>
    <col min="3" max="18" width="10.53515625" customWidth="1"/>
    <col min="19" max="19" width="3" customWidth="1"/>
  </cols>
  <sheetData>
    <row r="1" spans="2:19" ht="15" thickBot="1"/>
    <row r="2" spans="2:19" ht="15.9" thickBot="1">
      <c r="B2" s="110" t="s">
        <v>128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4"/>
    </row>
    <row r="3" spans="2:19" ht="15" thickBot="1">
      <c r="B3" s="37" t="s">
        <v>23</v>
      </c>
      <c r="C3" s="406">
        <v>2019</v>
      </c>
      <c r="D3" s="407"/>
      <c r="E3" s="407"/>
      <c r="F3" s="408"/>
      <c r="G3" s="398">
        <v>2020</v>
      </c>
      <c r="H3" s="399"/>
      <c r="I3" s="399"/>
      <c r="J3" s="400"/>
      <c r="K3" s="409">
        <v>2021</v>
      </c>
      <c r="L3" s="410"/>
      <c r="M3" s="410"/>
      <c r="N3" s="411"/>
      <c r="O3" s="412">
        <v>2022</v>
      </c>
      <c r="P3" s="413"/>
      <c r="Q3" s="413"/>
      <c r="R3" s="413"/>
      <c r="S3" s="14"/>
    </row>
    <row r="4" spans="2:19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7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14"/>
    </row>
    <row r="5" spans="2:19">
      <c r="B5" s="42"/>
      <c r="C5" s="179"/>
      <c r="D5" s="179"/>
      <c r="E5" s="179"/>
      <c r="F5" s="179"/>
      <c r="G5" s="44"/>
      <c r="H5" s="44"/>
      <c r="I5" s="44"/>
      <c r="J5" s="44"/>
      <c r="K5" s="271"/>
      <c r="L5" s="271"/>
      <c r="M5" s="271"/>
      <c r="N5" s="271"/>
      <c r="O5" s="292"/>
      <c r="P5" s="292"/>
      <c r="Q5" s="292"/>
      <c r="R5" s="292"/>
      <c r="S5" s="14"/>
    </row>
    <row r="6" spans="2:19">
      <c r="B6" s="46" t="s">
        <v>129</v>
      </c>
      <c r="C6" s="180">
        <v>7385</v>
      </c>
      <c r="D6" s="180">
        <v>6441</v>
      </c>
      <c r="E6" s="180">
        <v>6399</v>
      </c>
      <c r="F6" s="180">
        <v>2507</v>
      </c>
      <c r="G6" s="48">
        <v>4993</v>
      </c>
      <c r="H6" s="48">
        <v>4986</v>
      </c>
      <c r="I6" s="48">
        <v>4326</v>
      </c>
      <c r="J6" s="48">
        <f>5398</f>
        <v>5398</v>
      </c>
      <c r="K6" s="265">
        <v>4248</v>
      </c>
      <c r="L6" s="265">
        <v>5435</v>
      </c>
      <c r="M6" s="265">
        <v>5143</v>
      </c>
      <c r="N6" s="265">
        <v>4463</v>
      </c>
      <c r="O6" s="287">
        <v>3654</v>
      </c>
      <c r="P6" s="287">
        <v>5287</v>
      </c>
      <c r="Q6" s="287">
        <v>2996.951</v>
      </c>
      <c r="R6" s="287">
        <v>4724</v>
      </c>
      <c r="S6" s="14"/>
    </row>
    <row r="7" spans="2:19">
      <c r="B7" s="46" t="s">
        <v>130</v>
      </c>
      <c r="C7" s="180">
        <v>4694</v>
      </c>
      <c r="D7" s="180">
        <v>4129</v>
      </c>
      <c r="E7" s="180">
        <v>4055</v>
      </c>
      <c r="F7" s="180">
        <v>3954</v>
      </c>
      <c r="G7" s="48">
        <v>3439</v>
      </c>
      <c r="H7" s="48">
        <v>3613</v>
      </c>
      <c r="I7" s="48">
        <v>3263</v>
      </c>
      <c r="J7" s="48">
        <v>3657</v>
      </c>
      <c r="K7" s="265">
        <v>2762</v>
      </c>
      <c r="L7" s="265">
        <v>2057</v>
      </c>
      <c r="M7" s="265">
        <v>1971</v>
      </c>
      <c r="N7" s="265">
        <v>1576</v>
      </c>
      <c r="O7" s="287">
        <v>1599</v>
      </c>
      <c r="P7" s="287"/>
      <c r="Q7" s="287"/>
      <c r="R7" s="287"/>
      <c r="S7" s="14"/>
    </row>
    <row r="8" spans="2:19">
      <c r="B8" s="46" t="s">
        <v>131</v>
      </c>
      <c r="C8" s="180">
        <v>0</v>
      </c>
      <c r="D8" s="180">
        <v>0</v>
      </c>
      <c r="E8" s="180">
        <v>0</v>
      </c>
      <c r="F8" s="180">
        <v>58332</v>
      </c>
      <c r="G8" s="48">
        <v>0</v>
      </c>
      <c r="H8" s="48"/>
      <c r="I8" s="48"/>
      <c r="J8" s="48">
        <v>20538</v>
      </c>
      <c r="K8" s="265">
        <v>0</v>
      </c>
      <c r="L8" s="265">
        <v>0</v>
      </c>
      <c r="M8" s="265">
        <v>0</v>
      </c>
      <c r="N8" s="265"/>
      <c r="O8" s="287"/>
      <c r="P8" s="287"/>
      <c r="Q8" s="287"/>
      <c r="R8" s="287"/>
      <c r="S8" s="14"/>
    </row>
    <row r="9" spans="2:19">
      <c r="B9" s="46" t="s">
        <v>132</v>
      </c>
      <c r="C9" s="180">
        <v>2089</v>
      </c>
      <c r="D9" s="180">
        <v>1935</v>
      </c>
      <c r="E9" s="180">
        <v>2088</v>
      </c>
      <c r="F9" s="180">
        <v>2287</v>
      </c>
      <c r="G9" s="48">
        <v>1921</v>
      </c>
      <c r="H9" s="48">
        <v>2067</v>
      </c>
      <c r="I9" s="48">
        <v>1978</v>
      </c>
      <c r="J9" s="48">
        <f>2053+653</f>
        <v>2706</v>
      </c>
      <c r="K9" s="265">
        <v>1770</v>
      </c>
      <c r="L9" s="265">
        <v>2006</v>
      </c>
      <c r="M9" s="265">
        <v>2099</v>
      </c>
      <c r="N9" s="265">
        <v>2172</v>
      </c>
      <c r="O9" s="287">
        <v>2141</v>
      </c>
      <c r="P9" s="287">
        <v>2116</v>
      </c>
      <c r="Q9" s="287">
        <f>9302.055-Q10</f>
        <v>2703.3230000000003</v>
      </c>
      <c r="R9" s="287">
        <v>5581.732</v>
      </c>
      <c r="S9" s="14"/>
    </row>
    <row r="10" spans="2:19">
      <c r="B10" s="46" t="s">
        <v>133</v>
      </c>
      <c r="C10" s="180">
        <v>4993</v>
      </c>
      <c r="D10" s="180">
        <v>5227</v>
      </c>
      <c r="E10" s="180">
        <v>5183</v>
      </c>
      <c r="F10" s="180">
        <v>5326</v>
      </c>
      <c r="G10" s="48">
        <v>5347</v>
      </c>
      <c r="H10" s="48">
        <v>5530</v>
      </c>
      <c r="I10" s="48">
        <v>4871</v>
      </c>
      <c r="J10" s="48">
        <v>5945</v>
      </c>
      <c r="K10" s="265">
        <v>5672</v>
      </c>
      <c r="L10" s="265">
        <v>5458</v>
      </c>
      <c r="M10" s="265">
        <v>5297</v>
      </c>
      <c r="N10" s="265">
        <v>5652</v>
      </c>
      <c r="O10" s="287">
        <v>5870</v>
      </c>
      <c r="P10" s="287">
        <v>5587</v>
      </c>
      <c r="Q10" s="287">
        <v>6598.732</v>
      </c>
      <c r="R10" s="287">
        <v>4975</v>
      </c>
      <c r="S10" s="14"/>
    </row>
    <row r="11" spans="2:19">
      <c r="B11" s="46" t="s">
        <v>134</v>
      </c>
      <c r="C11" s="180">
        <v>0</v>
      </c>
      <c r="D11" s="180">
        <v>0</v>
      </c>
      <c r="E11" s="180">
        <v>0</v>
      </c>
      <c r="F11" s="180"/>
      <c r="G11" s="48">
        <v>0</v>
      </c>
      <c r="H11" s="48"/>
      <c r="I11" s="48"/>
      <c r="J11" s="48"/>
      <c r="K11" s="265"/>
      <c r="L11" s="265"/>
      <c r="M11" s="265"/>
      <c r="N11" s="265"/>
      <c r="O11" s="287"/>
      <c r="P11" s="287"/>
      <c r="Q11" s="287"/>
      <c r="R11" s="287"/>
      <c r="S11" s="14"/>
    </row>
    <row r="12" spans="2:19">
      <c r="B12" s="46" t="s">
        <v>148</v>
      </c>
      <c r="C12" s="180"/>
      <c r="D12" s="180"/>
      <c r="E12" s="180"/>
      <c r="F12" s="180"/>
      <c r="G12" s="48"/>
      <c r="H12" s="48"/>
      <c r="I12" s="48"/>
      <c r="J12" s="48"/>
      <c r="K12" s="265">
        <v>252</v>
      </c>
      <c r="L12" s="265"/>
      <c r="M12" s="265">
        <v>2200</v>
      </c>
      <c r="N12" s="265"/>
      <c r="O12" s="287"/>
      <c r="P12" s="287"/>
      <c r="Q12" s="287"/>
      <c r="R12" s="287"/>
      <c r="S12" s="14"/>
    </row>
    <row r="13" spans="2:19">
      <c r="B13" s="54" t="s">
        <v>135</v>
      </c>
      <c r="C13" s="181">
        <f t="shared" ref="C13" si="0">SUM(C6:C11)</f>
        <v>19161</v>
      </c>
      <c r="D13" s="181">
        <f>SUM(D6:D11)</f>
        <v>17732</v>
      </c>
      <c r="E13" s="181">
        <f t="shared" ref="E13:J13" si="1">SUM(E6:E11)</f>
        <v>17725</v>
      </c>
      <c r="F13" s="181">
        <f t="shared" si="1"/>
        <v>72406</v>
      </c>
      <c r="G13" s="56">
        <f t="shared" si="1"/>
        <v>15700</v>
      </c>
      <c r="H13" s="56">
        <f t="shared" si="1"/>
        <v>16196</v>
      </c>
      <c r="I13" s="56">
        <f t="shared" si="1"/>
        <v>14438</v>
      </c>
      <c r="J13" s="56">
        <f t="shared" si="1"/>
        <v>38244</v>
      </c>
      <c r="K13" s="261">
        <f>+K6+K7+K8+K9+K10-K12</f>
        <v>14200</v>
      </c>
      <c r="L13" s="261">
        <f t="shared" ref="L13:N13" si="2">SUM(L6:L11)</f>
        <v>14956</v>
      </c>
      <c r="M13" s="261">
        <f>+M6+M7+M8+M9+M10-M12</f>
        <v>12310</v>
      </c>
      <c r="N13" s="261">
        <f t="shared" si="2"/>
        <v>13863</v>
      </c>
      <c r="O13" s="283">
        <f>+O6+O7+O8+O9+O10-O12</f>
        <v>13264</v>
      </c>
      <c r="P13" s="283">
        <f t="shared" ref="P13" si="3">SUM(P6:P11)</f>
        <v>12990</v>
      </c>
      <c r="Q13" s="283">
        <f>+Q6+Q7+Q8+Q9+Q10-Q12</f>
        <v>12299.006000000001</v>
      </c>
      <c r="R13" s="283">
        <f t="shared" ref="R13" si="4">SUM(R6:R11)</f>
        <v>15280.732</v>
      </c>
      <c r="S13" s="14"/>
    </row>
    <row r="14" spans="2:19">
      <c r="B14" s="46"/>
      <c r="C14" s="180"/>
      <c r="D14" s="180"/>
      <c r="E14" s="180"/>
      <c r="F14" s="180"/>
      <c r="G14" s="48"/>
      <c r="H14" s="48"/>
      <c r="I14" s="48"/>
      <c r="J14" s="48"/>
      <c r="K14" s="265"/>
      <c r="L14" s="265"/>
      <c r="M14" s="265"/>
      <c r="N14" s="265"/>
      <c r="O14" s="287"/>
      <c r="P14" s="287"/>
      <c r="Q14" s="287"/>
      <c r="R14" s="287"/>
      <c r="S14" s="14"/>
    </row>
    <row r="15" spans="2:19">
      <c r="B15" s="95"/>
      <c r="C15" s="182"/>
      <c r="D15" s="182"/>
      <c r="E15" s="182"/>
      <c r="F15" s="182"/>
      <c r="G15" s="75"/>
      <c r="H15" s="75"/>
      <c r="I15" s="75"/>
      <c r="J15" s="75"/>
      <c r="K15" s="330"/>
      <c r="L15" s="330"/>
      <c r="M15" s="330"/>
      <c r="N15" s="330"/>
      <c r="O15" s="343"/>
      <c r="P15" s="343"/>
      <c r="Q15" s="343"/>
      <c r="R15" s="343"/>
      <c r="S15" s="14"/>
    </row>
    <row r="16" spans="2:19" ht="46.4" customHeight="1">
      <c r="B16" s="415" t="s">
        <v>22</v>
      </c>
      <c r="C16" s="415"/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</row>
  </sheetData>
  <mergeCells count="5">
    <mergeCell ref="C3:F3"/>
    <mergeCell ref="B16:S16"/>
    <mergeCell ref="G3:J3"/>
    <mergeCell ref="K3:N3"/>
    <mergeCell ref="O3:R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07421875" defaultRowHeight="14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54"/>
  <sheetViews>
    <sheetView view="pageBreakPreview" zoomScaleNormal="100" zoomScaleSheetLayoutView="100" workbookViewId="0">
      <pane xSplit="2" topLeftCell="I1" activePane="topRight" state="frozen"/>
      <selection pane="topRight" activeCell="R30" sqref="R30"/>
    </sheetView>
  </sheetViews>
  <sheetFormatPr defaultColWidth="9.07421875" defaultRowHeight="14.6"/>
  <cols>
    <col min="1" max="1" width="2.4609375" customWidth="1"/>
    <col min="2" max="2" width="43.3046875" bestFit="1" customWidth="1"/>
    <col min="3" max="18" width="10.69140625" customWidth="1"/>
    <col min="21" max="21" width="11.07421875" bestFit="1" customWidth="1"/>
  </cols>
  <sheetData>
    <row r="1" spans="2:24" ht="15" thickBot="1"/>
    <row r="2" spans="2:24" ht="15.9" thickBot="1">
      <c r="B2" s="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T2" s="255"/>
    </row>
    <row r="3" spans="2:24" ht="15" thickBot="1">
      <c r="B3" s="88"/>
      <c r="C3" s="406">
        <v>2019</v>
      </c>
      <c r="D3" s="407"/>
      <c r="E3" s="407"/>
      <c r="F3" s="408"/>
      <c r="G3" s="398">
        <v>2020</v>
      </c>
      <c r="H3" s="399"/>
      <c r="I3" s="399"/>
      <c r="J3" s="400"/>
      <c r="K3" s="409">
        <v>2021</v>
      </c>
      <c r="L3" s="410"/>
      <c r="M3" s="410"/>
      <c r="N3" s="411"/>
      <c r="O3" s="412">
        <v>2022</v>
      </c>
      <c r="P3" s="413"/>
      <c r="Q3" s="413"/>
      <c r="R3" s="413"/>
      <c r="T3" s="255"/>
    </row>
    <row r="4" spans="2:24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T4" s="255"/>
      <c r="U4" s="256"/>
    </row>
    <row r="5" spans="2:24">
      <c r="B5" s="91" t="s">
        <v>9</v>
      </c>
      <c r="C5" s="181">
        <v>141357</v>
      </c>
      <c r="D5" s="181">
        <v>153869</v>
      </c>
      <c r="E5" s="181">
        <v>165058</v>
      </c>
      <c r="F5" s="181">
        <v>155420</v>
      </c>
      <c r="G5" s="56">
        <v>136267</v>
      </c>
      <c r="H5" s="56">
        <v>136176</v>
      </c>
      <c r="I5" s="56">
        <v>142066</v>
      </c>
      <c r="J5" s="56">
        <v>157812</v>
      </c>
      <c r="K5" s="261">
        <v>118981</v>
      </c>
      <c r="L5" s="261">
        <v>161478</v>
      </c>
      <c r="M5" s="261">
        <v>131032.17935339018</v>
      </c>
      <c r="N5" s="261">
        <v>141190</v>
      </c>
      <c r="O5" s="283">
        <v>152829</v>
      </c>
      <c r="P5" s="283">
        <v>127616.95126757142</v>
      </c>
      <c r="Q5" s="283">
        <v>133931</v>
      </c>
      <c r="R5" s="283">
        <v>206854.94868073589</v>
      </c>
      <c r="T5" s="255"/>
      <c r="U5" s="256"/>
      <c r="V5" s="256"/>
      <c r="W5" s="12"/>
      <c r="X5" s="12"/>
    </row>
    <row r="6" spans="2:24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284"/>
      <c r="R6" s="285"/>
      <c r="T6" s="255"/>
      <c r="U6" s="256"/>
      <c r="V6" s="12"/>
      <c r="W6" s="12"/>
    </row>
    <row r="7" spans="2:24">
      <c r="B7" s="27" t="s">
        <v>10</v>
      </c>
      <c r="C7" s="191">
        <v>44268</v>
      </c>
      <c r="D7" s="180">
        <v>51486</v>
      </c>
      <c r="E7" s="191">
        <v>50443</v>
      </c>
      <c r="F7" s="180">
        <v>49633</v>
      </c>
      <c r="G7" s="78">
        <v>30981</v>
      </c>
      <c r="H7" s="48">
        <v>36490</v>
      </c>
      <c r="I7" s="78">
        <v>34831</v>
      </c>
      <c r="J7" s="48">
        <v>30950</v>
      </c>
      <c r="K7" s="264">
        <v>19368</v>
      </c>
      <c r="L7" s="265">
        <v>33341</v>
      </c>
      <c r="M7" s="264">
        <v>25112.410367950011</v>
      </c>
      <c r="N7" s="265">
        <v>40312</v>
      </c>
      <c r="O7" s="286">
        <v>46459</v>
      </c>
      <c r="P7" s="287">
        <v>22901.091317031507</v>
      </c>
      <c r="Q7" s="286">
        <v>32810.737423997729</v>
      </c>
      <c r="R7" s="287">
        <v>95906.266170738483</v>
      </c>
      <c r="T7" s="255"/>
      <c r="U7" s="256"/>
      <c r="V7" s="12"/>
      <c r="W7" s="12"/>
      <c r="X7" s="12"/>
    </row>
    <row r="8" spans="2:24">
      <c r="B8" s="27" t="s">
        <v>113</v>
      </c>
      <c r="C8" s="191">
        <v>15947</v>
      </c>
      <c r="D8" s="180">
        <v>19049</v>
      </c>
      <c r="E8" s="191">
        <v>21079</v>
      </c>
      <c r="F8" s="180">
        <v>26918</v>
      </c>
      <c r="G8" s="78">
        <v>20830</v>
      </c>
      <c r="H8" s="48">
        <v>19231</v>
      </c>
      <c r="I8" s="78">
        <v>14301</v>
      </c>
      <c r="J8" s="48">
        <v>28142</v>
      </c>
      <c r="K8" s="264">
        <v>16424</v>
      </c>
      <c r="L8" s="265">
        <v>31692</v>
      </c>
      <c r="M8" s="264">
        <v>12458.6839355456</v>
      </c>
      <c r="N8" s="265">
        <v>14819</v>
      </c>
      <c r="O8" s="286">
        <v>13629</v>
      </c>
      <c r="P8" s="287">
        <v>21386.9762817712</v>
      </c>
      <c r="Q8" s="286">
        <v>12508</v>
      </c>
      <c r="R8" s="287">
        <v>14195.341064014699</v>
      </c>
      <c r="T8" s="255"/>
      <c r="U8" s="256"/>
      <c r="V8" s="12"/>
      <c r="W8" s="12"/>
      <c r="X8" s="12"/>
    </row>
    <row r="9" spans="2:24">
      <c r="B9" s="89" t="s">
        <v>12</v>
      </c>
      <c r="C9" s="218">
        <f t="shared" ref="C9:F9" si="0">C5-C7-C8</f>
        <v>81142</v>
      </c>
      <c r="D9" s="181">
        <f t="shared" si="0"/>
        <v>83334</v>
      </c>
      <c r="E9" s="218">
        <f t="shared" si="0"/>
        <v>93536</v>
      </c>
      <c r="F9" s="181">
        <f t="shared" si="0"/>
        <v>78869</v>
      </c>
      <c r="G9" s="117">
        <f t="shared" ref="G9:J9" si="1">G5-G7-G8</f>
        <v>84456</v>
      </c>
      <c r="H9" s="56">
        <f t="shared" si="1"/>
        <v>80455</v>
      </c>
      <c r="I9" s="117">
        <f t="shared" si="1"/>
        <v>92934</v>
      </c>
      <c r="J9" s="56">
        <f t="shared" si="1"/>
        <v>98720</v>
      </c>
      <c r="K9" s="266">
        <f t="shared" ref="K9:N9" si="2">K5-K7-K8</f>
        <v>83189</v>
      </c>
      <c r="L9" s="261">
        <f t="shared" si="2"/>
        <v>96445</v>
      </c>
      <c r="M9" s="266">
        <f t="shared" si="2"/>
        <v>93461.085049894566</v>
      </c>
      <c r="N9" s="261">
        <f t="shared" si="2"/>
        <v>86059</v>
      </c>
      <c r="O9" s="288">
        <f t="shared" ref="O9:R9" si="3">O5-O7-O8</f>
        <v>92741</v>
      </c>
      <c r="P9" s="283">
        <f t="shared" si="3"/>
        <v>83328.883668768714</v>
      </c>
      <c r="Q9" s="288">
        <f t="shared" si="3"/>
        <v>88612.262576002278</v>
      </c>
      <c r="R9" s="283">
        <f t="shared" si="3"/>
        <v>96753.341445982704</v>
      </c>
      <c r="T9" s="255"/>
      <c r="U9" s="256"/>
      <c r="V9" s="256"/>
      <c r="W9" s="257"/>
      <c r="X9" s="12"/>
    </row>
    <row r="10" spans="2:24">
      <c r="B10" s="27" t="s">
        <v>13</v>
      </c>
      <c r="C10" s="219">
        <f t="shared" ref="C10:F10" si="4">C9/C5</f>
        <v>0.57402180295280747</v>
      </c>
      <c r="D10" s="208">
        <f t="shared" si="4"/>
        <v>0.5415905737997907</v>
      </c>
      <c r="E10" s="219">
        <f t="shared" si="4"/>
        <v>0.56668564989276493</v>
      </c>
      <c r="F10" s="208">
        <f t="shared" si="4"/>
        <v>0.5074572127139364</v>
      </c>
      <c r="G10" s="29">
        <f t="shared" ref="G10:J10" si="5">G9/G5</f>
        <v>0.61978321970836669</v>
      </c>
      <c r="H10" s="30">
        <f t="shared" si="5"/>
        <v>0.59081629655739631</v>
      </c>
      <c r="I10" s="29">
        <f t="shared" si="5"/>
        <v>0.65416074219024956</v>
      </c>
      <c r="J10" s="30">
        <f t="shared" si="5"/>
        <v>0.62555445720224068</v>
      </c>
      <c r="K10" s="279">
        <f t="shared" ref="K10:N10" si="6">K9/K5</f>
        <v>0.6991788604903304</v>
      </c>
      <c r="L10" s="279">
        <f t="shared" si="6"/>
        <v>0.5972640235821598</v>
      </c>
      <c r="M10" s="279">
        <f t="shared" si="6"/>
        <v>0.71326818733459807</v>
      </c>
      <c r="N10" s="279">
        <f t="shared" si="6"/>
        <v>0.60952617040866919</v>
      </c>
      <c r="O10" s="289">
        <f t="shared" ref="O10:Q10" si="7">O9/O5</f>
        <v>0.60682854693808108</v>
      </c>
      <c r="P10" s="289">
        <f t="shared" si="7"/>
        <v>0.65296093380302611</v>
      </c>
      <c r="Q10" s="289">
        <f t="shared" si="7"/>
        <v>0.66162622974518426</v>
      </c>
      <c r="R10" s="289">
        <f>IFERROR(R9/R5,0)</f>
        <v>0.46773520316071221</v>
      </c>
      <c r="T10" s="255"/>
      <c r="U10" s="256"/>
      <c r="V10" s="12"/>
      <c r="W10" s="12"/>
      <c r="X10" s="12"/>
    </row>
    <row r="11" spans="2:24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290"/>
      <c r="R11" s="291"/>
      <c r="T11" s="255"/>
      <c r="U11" s="256"/>
      <c r="V11" s="12"/>
      <c r="W11" s="12"/>
      <c r="X11" s="12"/>
    </row>
    <row r="12" spans="2:24">
      <c r="B12" s="27" t="s">
        <v>14</v>
      </c>
      <c r="C12" s="191">
        <v>65175</v>
      </c>
      <c r="D12" s="180">
        <v>58785</v>
      </c>
      <c r="E12" s="191">
        <v>56021</v>
      </c>
      <c r="F12" s="180">
        <v>67680</v>
      </c>
      <c r="G12" s="78">
        <v>70620</v>
      </c>
      <c r="H12" s="48">
        <v>55831</v>
      </c>
      <c r="I12" s="78">
        <v>53542</v>
      </c>
      <c r="J12" s="48">
        <v>65922</v>
      </c>
      <c r="K12" s="264">
        <v>62822</v>
      </c>
      <c r="L12" s="265">
        <v>61309</v>
      </c>
      <c r="M12" s="264">
        <v>60808.090456569189</v>
      </c>
      <c r="N12" s="265">
        <v>60568</v>
      </c>
      <c r="O12" s="286">
        <v>65863</v>
      </c>
      <c r="P12" s="287">
        <v>60240.896287628784</v>
      </c>
      <c r="Q12" s="286">
        <v>64283.33238571549</v>
      </c>
      <c r="R12" s="287">
        <v>78450.319016899637</v>
      </c>
      <c r="S12" s="12"/>
      <c r="T12" s="255"/>
      <c r="U12" s="256"/>
      <c r="V12" s="12"/>
      <c r="W12" s="12"/>
      <c r="X12" s="12"/>
    </row>
    <row r="13" spans="2:24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284"/>
      <c r="R13" s="292"/>
      <c r="T13" s="255"/>
      <c r="U13" s="256"/>
      <c r="V13" s="12"/>
      <c r="W13" s="12"/>
      <c r="X13" s="12"/>
    </row>
    <row r="14" spans="2:24">
      <c r="B14" s="91" t="s">
        <v>15</v>
      </c>
      <c r="C14" s="218">
        <f t="shared" ref="C14:E14" si="8">C9-C12</f>
        <v>15967</v>
      </c>
      <c r="D14" s="181">
        <f t="shared" si="8"/>
        <v>24549</v>
      </c>
      <c r="E14" s="218">
        <f t="shared" si="8"/>
        <v>37515</v>
      </c>
      <c r="F14" s="181">
        <f>F9-F12</f>
        <v>11189</v>
      </c>
      <c r="G14" s="117">
        <f t="shared" ref="G14:I14" si="9">G9-G12</f>
        <v>13836</v>
      </c>
      <c r="H14" s="56">
        <f t="shared" si="9"/>
        <v>24624</v>
      </c>
      <c r="I14" s="117">
        <f t="shared" si="9"/>
        <v>39392</v>
      </c>
      <c r="J14" s="56">
        <f>J9-J12</f>
        <v>32798</v>
      </c>
      <c r="K14" s="266">
        <f t="shared" ref="K14:M14" si="10">K9-K12</f>
        <v>20367</v>
      </c>
      <c r="L14" s="261">
        <f t="shared" si="10"/>
        <v>35136</v>
      </c>
      <c r="M14" s="266">
        <f t="shared" si="10"/>
        <v>32652.994593325377</v>
      </c>
      <c r="N14" s="261">
        <f>N9-N12</f>
        <v>25491</v>
      </c>
      <c r="O14" s="288">
        <f t="shared" ref="O14:Q14" si="11">O9-O12</f>
        <v>26878</v>
      </c>
      <c r="P14" s="283">
        <f t="shared" si="11"/>
        <v>23087.98738113993</v>
      </c>
      <c r="Q14" s="288">
        <f t="shared" si="11"/>
        <v>24328.930190286788</v>
      </c>
      <c r="R14" s="283">
        <f>R9-R12</f>
        <v>18303.022429083067</v>
      </c>
      <c r="T14" s="255"/>
      <c r="U14" s="257"/>
      <c r="V14" s="257"/>
      <c r="W14" s="257"/>
      <c r="X14" s="12"/>
    </row>
    <row r="15" spans="2:24">
      <c r="B15" s="27" t="s">
        <v>16</v>
      </c>
      <c r="C15" s="219">
        <f t="shared" ref="C15:F15" si="12">C14/C5</f>
        <v>0.11295514194557044</v>
      </c>
      <c r="D15" s="208">
        <f t="shared" si="12"/>
        <v>0.15954480759607198</v>
      </c>
      <c r="E15" s="219">
        <f t="shared" si="12"/>
        <v>0.22728374268438972</v>
      </c>
      <c r="F15" s="208">
        <f t="shared" si="12"/>
        <v>7.1992021618839275E-2</v>
      </c>
      <c r="G15" s="29">
        <f t="shared" ref="G15:J15" si="13">G14/G5</f>
        <v>0.10153595514688075</v>
      </c>
      <c r="H15" s="30">
        <f t="shared" si="13"/>
        <v>0.18082481494536481</v>
      </c>
      <c r="I15" s="29">
        <f t="shared" si="13"/>
        <v>0.27727957428237582</v>
      </c>
      <c r="J15" s="30">
        <f t="shared" si="13"/>
        <v>0.20782956936101182</v>
      </c>
      <c r="K15" s="279">
        <f t="shared" ref="K15:Q15" si="14">K14/K5</f>
        <v>0.17117859153982568</v>
      </c>
      <c r="L15" s="279">
        <f t="shared" si="14"/>
        <v>0.21759001226173225</v>
      </c>
      <c r="M15" s="279">
        <f t="shared" si="14"/>
        <v>0.24919828666865984</v>
      </c>
      <c r="N15" s="279">
        <f t="shared" si="14"/>
        <v>0.18054394787166231</v>
      </c>
      <c r="O15" s="297">
        <f>O14/O5</f>
        <v>0.17586976293766235</v>
      </c>
      <c r="P15" s="300">
        <f t="shared" si="14"/>
        <v>0.18091630580276047</v>
      </c>
      <c r="Q15" s="297">
        <f t="shared" si="14"/>
        <v>0.18165271811818615</v>
      </c>
      <c r="R15" s="300">
        <f>IFERROR(R14/R5,0)</f>
        <v>8.8482400570132458E-2</v>
      </c>
      <c r="T15" s="255"/>
      <c r="U15" s="256"/>
      <c r="V15" s="12"/>
      <c r="W15" s="12"/>
      <c r="X15" s="12"/>
    </row>
    <row r="16" spans="2:24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293"/>
      <c r="R16" s="294"/>
      <c r="T16" s="255"/>
      <c r="U16" s="256"/>
      <c r="V16" s="12"/>
      <c r="W16" s="12"/>
      <c r="X16" s="12"/>
    </row>
    <row r="17" spans="2:24">
      <c r="B17" s="27" t="s">
        <v>28</v>
      </c>
      <c r="C17" s="190">
        <v>9169</v>
      </c>
      <c r="D17" s="196">
        <v>9211</v>
      </c>
      <c r="E17" s="196">
        <v>9087</v>
      </c>
      <c r="F17" s="196">
        <v>6903</v>
      </c>
      <c r="G17" s="82">
        <v>8530</v>
      </c>
      <c r="H17" s="83">
        <v>9298</v>
      </c>
      <c r="I17" s="82">
        <v>8871</v>
      </c>
      <c r="J17" s="83">
        <v>9905</v>
      </c>
      <c r="K17" s="274">
        <v>8498</v>
      </c>
      <c r="L17" s="275">
        <v>9737</v>
      </c>
      <c r="M17" s="274">
        <v>9126.7868513229114</v>
      </c>
      <c r="N17" s="275">
        <v>8578</v>
      </c>
      <c r="O17" s="295">
        <v>8374</v>
      </c>
      <c r="P17" s="296">
        <v>8008.9589001419936</v>
      </c>
      <c r="Q17" s="295">
        <v>8654.5044127449564</v>
      </c>
      <c r="R17" s="296">
        <v>10833.86465822916</v>
      </c>
      <c r="T17" s="255"/>
      <c r="U17" s="256"/>
      <c r="V17" s="12"/>
      <c r="W17" s="12"/>
      <c r="X17" s="12"/>
    </row>
    <row r="18" spans="2:24">
      <c r="B18" s="27" t="s">
        <v>19</v>
      </c>
      <c r="C18" s="190">
        <v>0</v>
      </c>
      <c r="D18" s="196">
        <v>0</v>
      </c>
      <c r="E18" s="196">
        <v>0</v>
      </c>
      <c r="F18" s="196">
        <v>0</v>
      </c>
      <c r="G18" s="82">
        <v>0</v>
      </c>
      <c r="H18" s="83">
        <v>0</v>
      </c>
      <c r="I18" s="83">
        <v>0</v>
      </c>
      <c r="J18" s="83">
        <v>0</v>
      </c>
      <c r="K18" s="274">
        <v>0</v>
      </c>
      <c r="L18" s="275">
        <v>0</v>
      </c>
      <c r="M18" s="275"/>
      <c r="N18" s="275"/>
      <c r="O18" s="295"/>
      <c r="P18" s="296"/>
      <c r="Q18" s="296"/>
      <c r="R18" s="296"/>
      <c r="T18" s="255"/>
      <c r="U18" s="256"/>
      <c r="V18" s="12"/>
      <c r="W18" s="12"/>
      <c r="X18" s="12"/>
    </row>
    <row r="19" spans="2:24">
      <c r="B19" s="93" t="s">
        <v>147</v>
      </c>
      <c r="C19" s="190"/>
      <c r="D19" s="196"/>
      <c r="E19" s="196"/>
      <c r="F19" s="196"/>
      <c r="G19" s="82"/>
      <c r="H19" s="83"/>
      <c r="I19" s="82"/>
      <c r="J19" s="83"/>
      <c r="K19" s="274">
        <v>0</v>
      </c>
      <c r="L19" s="275">
        <v>0</v>
      </c>
      <c r="M19" s="274"/>
      <c r="N19" s="275"/>
      <c r="O19" s="295"/>
      <c r="P19" s="296"/>
      <c r="Q19" s="295"/>
      <c r="R19" s="296"/>
      <c r="T19" s="255"/>
      <c r="U19" s="256"/>
      <c r="V19" s="12"/>
      <c r="W19" s="12"/>
      <c r="X19" s="12"/>
    </row>
    <row r="20" spans="2:24">
      <c r="B20" s="91" t="s">
        <v>20</v>
      </c>
      <c r="C20" s="218">
        <f t="shared" ref="C20:J20" si="15">C14-C17-C18</f>
        <v>6798</v>
      </c>
      <c r="D20" s="181">
        <f t="shared" si="15"/>
        <v>15338</v>
      </c>
      <c r="E20" s="218">
        <f t="shared" si="15"/>
        <v>28428</v>
      </c>
      <c r="F20" s="181">
        <f t="shared" si="15"/>
        <v>4286</v>
      </c>
      <c r="G20" s="117">
        <f>G14-G17-G18</f>
        <v>5306</v>
      </c>
      <c r="H20" s="56">
        <f t="shared" si="15"/>
        <v>15326</v>
      </c>
      <c r="I20" s="117">
        <f t="shared" si="15"/>
        <v>30521</v>
      </c>
      <c r="J20" s="56">
        <f t="shared" si="15"/>
        <v>22893</v>
      </c>
      <c r="K20" s="261">
        <f>K14-K17-K18+K19</f>
        <v>11869</v>
      </c>
      <c r="L20" s="261">
        <f t="shared" ref="L20:N20" si="16">L14-L17-L18</f>
        <v>25399</v>
      </c>
      <c r="M20" s="266">
        <f t="shared" si="16"/>
        <v>23526.207742002465</v>
      </c>
      <c r="N20" s="261">
        <f t="shared" si="16"/>
        <v>16913</v>
      </c>
      <c r="O20" s="283">
        <f>O14-O17-O18+O19</f>
        <v>18504</v>
      </c>
      <c r="P20" s="283">
        <f t="shared" ref="P20:R20" si="17">P14-P17-P18</f>
        <v>15079.028480997937</v>
      </c>
      <c r="Q20" s="288">
        <f t="shared" si="17"/>
        <v>15674.425777541832</v>
      </c>
      <c r="R20" s="283">
        <f t="shared" si="17"/>
        <v>7469.1577708539062</v>
      </c>
      <c r="T20" s="255"/>
      <c r="U20" s="257"/>
      <c r="V20" s="257"/>
      <c r="W20" s="257"/>
      <c r="X20" s="12"/>
    </row>
    <row r="21" spans="2:24">
      <c r="B21" s="27" t="s">
        <v>21</v>
      </c>
      <c r="C21" s="219">
        <f t="shared" ref="C21:J21" si="18">C20/C5</f>
        <v>4.8091003629109279E-2</v>
      </c>
      <c r="D21" s="219">
        <f t="shared" si="18"/>
        <v>9.9682197193716737E-2</v>
      </c>
      <c r="E21" s="219">
        <f t="shared" si="18"/>
        <v>0.17223036750717929</v>
      </c>
      <c r="F21" s="219">
        <f t="shared" si="18"/>
        <v>2.7576888431347316E-2</v>
      </c>
      <c r="G21" s="29">
        <f t="shared" si="18"/>
        <v>3.8938260914234551E-2</v>
      </c>
      <c r="H21" s="29">
        <f t="shared" si="18"/>
        <v>0.11254552931500411</v>
      </c>
      <c r="I21" s="29">
        <f t="shared" si="18"/>
        <v>0.2148367660101643</v>
      </c>
      <c r="J21" s="29">
        <f t="shared" si="18"/>
        <v>0.1450650140673713</v>
      </c>
      <c r="K21" s="267">
        <f t="shared" ref="K21:N21" si="19">K20/K5</f>
        <v>9.975542313478622E-2</v>
      </c>
      <c r="L21" s="267">
        <f t="shared" si="19"/>
        <v>0.15729077645251985</v>
      </c>
      <c r="M21" s="267">
        <f t="shared" si="19"/>
        <v>0.17954526787311481</v>
      </c>
      <c r="N21" s="267">
        <f t="shared" si="19"/>
        <v>0.11978893689354771</v>
      </c>
      <c r="O21" s="297">
        <f t="shared" ref="O21:Q21" si="20">O20/O5</f>
        <v>0.12107649726164536</v>
      </c>
      <c r="P21" s="297">
        <f t="shared" si="20"/>
        <v>0.11815850740221882</v>
      </c>
      <c r="Q21" s="297">
        <f t="shared" si="20"/>
        <v>0.11703359026320891</v>
      </c>
      <c r="R21" s="297">
        <f>IFERROR(R20/R5,0)</f>
        <v>3.6108189910321921E-2</v>
      </c>
      <c r="T21" s="255"/>
      <c r="U21" s="256"/>
      <c r="W21" s="12"/>
    </row>
    <row r="22" spans="2:24" ht="15.45">
      <c r="B22" s="7"/>
      <c r="C22" s="251"/>
      <c r="D22" s="251"/>
      <c r="E22" s="251"/>
      <c r="F22" s="251"/>
      <c r="G22" s="4"/>
      <c r="H22" s="4"/>
      <c r="I22" s="4"/>
      <c r="J22" s="4"/>
      <c r="K22" s="276"/>
      <c r="L22" s="276"/>
      <c r="M22" s="276"/>
      <c r="N22" s="276"/>
      <c r="O22" s="298"/>
      <c r="P22" s="298"/>
      <c r="Q22" s="298"/>
      <c r="R22" s="298"/>
      <c r="T22" s="255"/>
      <c r="U22" s="256"/>
    </row>
    <row r="23" spans="2:24" s="350" customFormat="1" ht="15.45">
      <c r="B23" s="347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T23" s="349"/>
      <c r="U23" s="351"/>
    </row>
    <row r="24" spans="2:24" s="350" customFormat="1">
      <c r="B24" s="414" t="s">
        <v>22</v>
      </c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4"/>
      <c r="T24" s="349"/>
      <c r="U24" s="351"/>
    </row>
    <row r="25" spans="2:24" s="350" customFormat="1" ht="15" thickBot="1"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T25" s="349"/>
      <c r="U25" s="351"/>
    </row>
    <row r="26" spans="2:24" s="350" customFormat="1" ht="15" thickBot="1">
      <c r="B26" s="27" t="s">
        <v>1</v>
      </c>
      <c r="C26" s="406">
        <v>2019</v>
      </c>
      <c r="D26" s="407"/>
      <c r="E26" s="407"/>
      <c r="F26" s="408"/>
      <c r="G26" s="398">
        <v>2020</v>
      </c>
      <c r="H26" s="399"/>
      <c r="I26" s="399"/>
      <c r="J26" s="400"/>
      <c r="K26" s="409">
        <v>2021</v>
      </c>
      <c r="L26" s="410"/>
      <c r="M26" s="410"/>
      <c r="N26" s="411"/>
      <c r="O26" s="412">
        <v>2022</v>
      </c>
      <c r="P26" s="413"/>
      <c r="Q26" s="413"/>
      <c r="R26" s="413"/>
      <c r="T26" s="349"/>
      <c r="U26" s="351"/>
    </row>
    <row r="27" spans="2:24" s="350" customFormat="1">
      <c r="B27" s="353" t="s">
        <v>149</v>
      </c>
      <c r="C27" s="224" t="s">
        <v>2</v>
      </c>
      <c r="D27" s="224" t="s">
        <v>3</v>
      </c>
      <c r="E27" s="224" t="s">
        <v>4</v>
      </c>
      <c r="F27" s="366" t="s">
        <v>5</v>
      </c>
      <c r="G27" s="134" t="s">
        <v>2</v>
      </c>
      <c r="H27" s="134" t="s">
        <v>3</v>
      </c>
      <c r="I27" s="134" t="s">
        <v>4</v>
      </c>
      <c r="J27" s="135" t="s">
        <v>5</v>
      </c>
      <c r="K27" s="358" t="s">
        <v>2</v>
      </c>
      <c r="L27" s="358" t="s">
        <v>3</v>
      </c>
      <c r="M27" s="358" t="s">
        <v>4</v>
      </c>
      <c r="N27" s="360" t="s">
        <v>5</v>
      </c>
      <c r="O27" s="362" t="s">
        <v>2</v>
      </c>
      <c r="P27" s="362" t="s">
        <v>3</v>
      </c>
      <c r="Q27" s="362" t="s">
        <v>4</v>
      </c>
      <c r="R27" s="364" t="s">
        <v>5</v>
      </c>
      <c r="T27" s="349"/>
      <c r="U27" s="351"/>
    </row>
    <row r="28" spans="2:24" s="350" customFormat="1" ht="15.45">
      <c r="B28" s="354" t="s">
        <v>150</v>
      </c>
      <c r="C28" s="367"/>
      <c r="D28" s="367"/>
      <c r="E28" s="367"/>
      <c r="F28" s="368"/>
      <c r="G28" s="369"/>
      <c r="H28" s="369"/>
      <c r="I28" s="369"/>
      <c r="J28" s="370"/>
      <c r="K28" s="379">
        <v>119136.49999999999</v>
      </c>
      <c r="L28" s="379">
        <v>117854.79999999999</v>
      </c>
      <c r="M28" s="379">
        <v>127920.79999999999</v>
      </c>
      <c r="N28" s="380"/>
      <c r="O28" s="381">
        <v>141659</v>
      </c>
      <c r="P28" s="363">
        <v>148444.79999999999</v>
      </c>
      <c r="Q28" s="363">
        <v>145642</v>
      </c>
      <c r="R28" s="365">
        <v>147845</v>
      </c>
      <c r="T28" s="349"/>
      <c r="U28" s="351"/>
    </row>
    <row r="29" spans="2:24" s="350" customFormat="1" ht="15.45">
      <c r="B29" s="355" t="s">
        <v>151</v>
      </c>
      <c r="C29" s="367"/>
      <c r="D29" s="367"/>
      <c r="E29" s="367"/>
      <c r="F29" s="368"/>
      <c r="G29" s="369"/>
      <c r="H29" s="369"/>
      <c r="I29" s="369"/>
      <c r="J29" s="370"/>
      <c r="K29" s="379">
        <v>51058.5</v>
      </c>
      <c r="L29" s="379">
        <v>50509.2</v>
      </c>
      <c r="M29" s="379">
        <v>54823.199999999997</v>
      </c>
      <c r="N29" s="380"/>
      <c r="O29" s="381">
        <v>60711</v>
      </c>
      <c r="P29" s="363">
        <v>63619.199999999997</v>
      </c>
      <c r="Q29" s="363">
        <v>62418</v>
      </c>
      <c r="R29" s="365">
        <v>63362</v>
      </c>
      <c r="T29" s="349"/>
      <c r="U29" s="351"/>
    </row>
    <row r="30" spans="2:24" s="350" customFormat="1" ht="15.45">
      <c r="B30" s="356" t="s">
        <v>149</v>
      </c>
      <c r="C30" s="371"/>
      <c r="D30" s="371"/>
      <c r="E30" s="371"/>
      <c r="F30" s="372"/>
      <c r="G30" s="373"/>
      <c r="H30" s="373"/>
      <c r="I30" s="373"/>
      <c r="J30" s="374"/>
      <c r="K30" s="382">
        <v>170195</v>
      </c>
      <c r="L30" s="382">
        <v>168364</v>
      </c>
      <c r="M30" s="382">
        <v>182744</v>
      </c>
      <c r="N30" s="383"/>
      <c r="O30" s="384">
        <f>SUM(O28:O29)</f>
        <v>202370</v>
      </c>
      <c r="P30" s="384">
        <f t="shared" ref="P30:R30" si="21">SUM(P28:P29)</f>
        <v>212064</v>
      </c>
      <c r="Q30" s="384">
        <v>208060</v>
      </c>
      <c r="R30" s="384">
        <f t="shared" si="21"/>
        <v>211207</v>
      </c>
      <c r="T30" s="349"/>
      <c r="U30" s="351"/>
    </row>
    <row r="31" spans="2:24" s="350" customFormat="1" ht="15.45">
      <c r="B31" s="357"/>
      <c r="C31" s="367"/>
      <c r="D31" s="367"/>
      <c r="E31" s="367"/>
      <c r="F31" s="368"/>
      <c r="G31" s="369"/>
      <c r="H31" s="369"/>
      <c r="I31" s="369"/>
      <c r="J31" s="370"/>
      <c r="K31" s="379"/>
      <c r="L31" s="379"/>
      <c r="M31" s="379"/>
      <c r="N31" s="380"/>
      <c r="O31" s="381"/>
      <c r="P31" s="363"/>
      <c r="Q31" s="363"/>
      <c r="R31" s="365"/>
      <c r="T31" s="349"/>
      <c r="U31" s="351"/>
    </row>
    <row r="32" spans="2:24" s="350" customFormat="1" ht="15.45">
      <c r="B32" s="355" t="s">
        <v>152</v>
      </c>
      <c r="C32" s="367"/>
      <c r="D32" s="367"/>
      <c r="E32" s="367"/>
      <c r="F32" s="368"/>
      <c r="G32" s="369"/>
      <c r="H32" s="369"/>
      <c r="I32" s="369"/>
      <c r="J32" s="370"/>
      <c r="K32" s="379">
        <v>42548.75</v>
      </c>
      <c r="L32" s="379">
        <v>42091</v>
      </c>
      <c r="M32" s="379">
        <v>45686</v>
      </c>
      <c r="N32" s="380"/>
      <c r="O32" s="381">
        <v>50592.5</v>
      </c>
      <c r="P32" s="363">
        <v>53016</v>
      </c>
      <c r="Q32" s="363">
        <v>52015</v>
      </c>
      <c r="R32" s="365">
        <v>55583</v>
      </c>
      <c r="T32" s="349"/>
      <c r="U32" s="351"/>
    </row>
    <row r="33" spans="2:21" s="350" customFormat="1" ht="15.45">
      <c r="B33" s="355" t="s">
        <v>153</v>
      </c>
      <c r="C33" s="367"/>
      <c r="D33" s="367"/>
      <c r="E33" s="367"/>
      <c r="F33" s="368"/>
      <c r="G33" s="369"/>
      <c r="H33" s="369"/>
      <c r="I33" s="369"/>
      <c r="J33" s="370"/>
      <c r="K33" s="379">
        <v>76432.25</v>
      </c>
      <c r="L33" s="379">
        <v>119387</v>
      </c>
      <c r="M33" s="379">
        <v>85346</v>
      </c>
      <c r="N33" s="380"/>
      <c r="O33" s="381">
        <v>102236.5</v>
      </c>
      <c r="P33" s="363">
        <v>74601</v>
      </c>
      <c r="Q33" s="363">
        <v>81916</v>
      </c>
      <c r="R33" s="365">
        <v>151272</v>
      </c>
      <c r="T33" s="349"/>
      <c r="U33" s="351"/>
    </row>
    <row r="34" spans="2:21" s="350" customFormat="1" ht="15.45">
      <c r="B34" s="356" t="s">
        <v>154</v>
      </c>
      <c r="C34" s="371"/>
      <c r="D34" s="371"/>
      <c r="E34" s="371"/>
      <c r="F34" s="372"/>
      <c r="G34" s="373"/>
      <c r="H34" s="373"/>
      <c r="I34" s="373"/>
      <c r="J34" s="374"/>
      <c r="K34" s="382">
        <v>118981</v>
      </c>
      <c r="L34" s="382">
        <v>161478</v>
      </c>
      <c r="M34" s="382">
        <v>131032</v>
      </c>
      <c r="N34" s="383"/>
      <c r="O34" s="384">
        <f>SUM(O32:O33)</f>
        <v>152829</v>
      </c>
      <c r="P34" s="384">
        <f t="shared" ref="P34:R34" si="22">SUM(P32:P33)</f>
        <v>127617</v>
      </c>
      <c r="Q34" s="384">
        <v>133931</v>
      </c>
      <c r="R34" s="384">
        <f t="shared" si="22"/>
        <v>206855</v>
      </c>
      <c r="T34" s="349"/>
      <c r="U34" s="351"/>
    </row>
    <row r="35" spans="2:21" ht="33" customHeight="1">
      <c r="T35" s="126"/>
      <c r="U35" s="254"/>
    </row>
    <row r="37" spans="2:21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2:21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2:21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2" spans="2:21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2:21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7" spans="2:21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52" spans="3:18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3:18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3:18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</sheetData>
  <mergeCells count="9">
    <mergeCell ref="C3:F3"/>
    <mergeCell ref="G3:J3"/>
    <mergeCell ref="K3:N3"/>
    <mergeCell ref="O3:R3"/>
    <mergeCell ref="K26:N26"/>
    <mergeCell ref="O26:R26"/>
    <mergeCell ref="G26:J26"/>
    <mergeCell ref="C26:F26"/>
    <mergeCell ref="B24:R24"/>
  </mergeCells>
  <pageMargins left="0.7" right="0.7" top="0.75" bottom="0.75" header="0.3" footer="0.3"/>
  <pageSetup paperSize="9" scale="5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11FEB-946F-41BE-8061-909265A7C630}">
  <dimension ref="B1:X53"/>
  <sheetViews>
    <sheetView view="pageBreakPreview" zoomScaleNormal="100" zoomScaleSheetLayoutView="100" workbookViewId="0">
      <pane xSplit="2" topLeftCell="I1" activePane="topRight" state="frozen"/>
      <selection pane="topRight" activeCell="U35" sqref="U35"/>
    </sheetView>
  </sheetViews>
  <sheetFormatPr defaultColWidth="9.07421875" defaultRowHeight="14.6"/>
  <cols>
    <col min="1" max="1" width="2.4609375" customWidth="1"/>
    <col min="2" max="2" width="43.3046875" customWidth="1"/>
    <col min="3" max="18" width="10.69140625" customWidth="1"/>
    <col min="21" max="21" width="11.07421875" bestFit="1" customWidth="1"/>
  </cols>
  <sheetData>
    <row r="1" spans="2:24" ht="15" thickBot="1"/>
    <row r="2" spans="2:24" ht="15.9" thickBot="1">
      <c r="B2" s="1" t="s">
        <v>136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T2" s="255"/>
    </row>
    <row r="3" spans="2:24" ht="15" thickBot="1">
      <c r="B3" s="88"/>
      <c r="C3" s="406">
        <v>2019</v>
      </c>
      <c r="D3" s="407"/>
      <c r="E3" s="407"/>
      <c r="F3" s="408"/>
      <c r="G3" s="398">
        <v>2020</v>
      </c>
      <c r="H3" s="399"/>
      <c r="I3" s="399"/>
      <c r="J3" s="400"/>
      <c r="K3" s="409">
        <v>2021</v>
      </c>
      <c r="L3" s="410"/>
      <c r="M3" s="410"/>
      <c r="N3" s="411"/>
      <c r="O3" s="412">
        <v>2022</v>
      </c>
      <c r="P3" s="413"/>
      <c r="Q3" s="413"/>
      <c r="R3" s="413"/>
      <c r="T3" s="255"/>
    </row>
    <row r="4" spans="2:24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T4" s="255"/>
      <c r="U4" s="256"/>
    </row>
    <row r="5" spans="2:24">
      <c r="B5" s="91" t="s">
        <v>9</v>
      </c>
      <c r="C5" s="181">
        <v>50860</v>
      </c>
      <c r="D5" s="181">
        <v>75690</v>
      </c>
      <c r="E5" s="181">
        <v>49780</v>
      </c>
      <c r="F5" s="181">
        <v>54748</v>
      </c>
      <c r="G5" s="56">
        <v>57205</v>
      </c>
      <c r="H5" s="56">
        <v>80964</v>
      </c>
      <c r="I5" s="56">
        <v>58427</v>
      </c>
      <c r="J5" s="56">
        <v>85293</v>
      </c>
      <c r="K5" s="261">
        <v>70037</v>
      </c>
      <c r="L5" s="261">
        <v>91154</v>
      </c>
      <c r="M5" s="261">
        <v>72849.475538212006</v>
      </c>
      <c r="N5" s="261">
        <v>70828</v>
      </c>
      <c r="O5" s="283">
        <v>62689</v>
      </c>
      <c r="P5" s="283">
        <v>85895.599994175995</v>
      </c>
      <c r="Q5" s="283">
        <v>81359</v>
      </c>
      <c r="R5" s="283">
        <v>97793.101692621989</v>
      </c>
      <c r="T5" s="255"/>
      <c r="U5" s="256"/>
      <c r="V5" s="256"/>
      <c r="W5" s="12"/>
      <c r="X5" s="12"/>
    </row>
    <row r="6" spans="2:24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284"/>
      <c r="R6" s="285"/>
      <c r="T6" s="255"/>
      <c r="U6" s="256"/>
      <c r="V6" s="12"/>
      <c r="W6" s="12"/>
    </row>
    <row r="7" spans="2:24">
      <c r="B7" s="27" t="s">
        <v>10</v>
      </c>
      <c r="C7" s="191">
        <v>15376</v>
      </c>
      <c r="D7" s="180">
        <v>29140</v>
      </c>
      <c r="E7" s="191">
        <v>12574</v>
      </c>
      <c r="F7" s="180">
        <v>12564</v>
      </c>
      <c r="G7" s="78">
        <v>16880</v>
      </c>
      <c r="H7" s="48">
        <v>23628</v>
      </c>
      <c r="I7" s="78">
        <v>19631</v>
      </c>
      <c r="J7" s="48">
        <v>30264</v>
      </c>
      <c r="K7" s="264">
        <v>23522</v>
      </c>
      <c r="L7" s="265">
        <v>32731</v>
      </c>
      <c r="M7" s="264">
        <v>26865.108290037002</v>
      </c>
      <c r="N7" s="265">
        <v>26379</v>
      </c>
      <c r="O7" s="286">
        <v>19358</v>
      </c>
      <c r="P7" s="287">
        <v>21901.319564865</v>
      </c>
      <c r="Q7" s="286">
        <v>24835.744231794</v>
      </c>
      <c r="R7" s="287">
        <v>26978.413708181004</v>
      </c>
      <c r="T7" s="255"/>
      <c r="U7" s="256"/>
      <c r="V7" s="12"/>
      <c r="W7" s="12"/>
      <c r="X7" s="12"/>
    </row>
    <row r="8" spans="2:24">
      <c r="B8" s="27" t="s">
        <v>113</v>
      </c>
      <c r="C8" s="191">
        <v>5158</v>
      </c>
      <c r="D8" s="180">
        <v>3528</v>
      </c>
      <c r="E8" s="191">
        <v>1354</v>
      </c>
      <c r="F8" s="180">
        <v>3314</v>
      </c>
      <c r="G8" s="78">
        <v>224</v>
      </c>
      <c r="H8" s="48">
        <v>1352</v>
      </c>
      <c r="I8" s="78">
        <v>1731</v>
      </c>
      <c r="J8" s="48">
        <v>8137</v>
      </c>
      <c r="K8" s="264">
        <v>614</v>
      </c>
      <c r="L8" s="265">
        <v>3227</v>
      </c>
      <c r="M8" s="264">
        <v>602.14279419000036</v>
      </c>
      <c r="N8" s="265">
        <v>1817</v>
      </c>
      <c r="O8" s="286">
        <v>590</v>
      </c>
      <c r="P8" s="287">
        <v>694.56327574900001</v>
      </c>
      <c r="Q8" s="286">
        <v>603.44200997300004</v>
      </c>
      <c r="R8" s="287">
        <v>2114.8571621289998</v>
      </c>
      <c r="T8" s="255"/>
      <c r="U8" s="256"/>
      <c r="V8" s="12"/>
      <c r="W8" s="12"/>
      <c r="X8" s="12"/>
    </row>
    <row r="9" spans="2:24">
      <c r="B9" s="89" t="s">
        <v>12</v>
      </c>
      <c r="C9" s="218">
        <f t="shared" ref="C9:R9" si="0">C5-C7-C8</f>
        <v>30326</v>
      </c>
      <c r="D9" s="181">
        <f t="shared" si="0"/>
        <v>43022</v>
      </c>
      <c r="E9" s="218">
        <f t="shared" si="0"/>
        <v>35852</v>
      </c>
      <c r="F9" s="181">
        <f t="shared" si="0"/>
        <v>38870</v>
      </c>
      <c r="G9" s="117">
        <f t="shared" si="0"/>
        <v>40101</v>
      </c>
      <c r="H9" s="56">
        <f t="shared" si="0"/>
        <v>55984</v>
      </c>
      <c r="I9" s="117">
        <f t="shared" si="0"/>
        <v>37065</v>
      </c>
      <c r="J9" s="56">
        <f t="shared" si="0"/>
        <v>46892</v>
      </c>
      <c r="K9" s="266">
        <f t="shared" si="0"/>
        <v>45901</v>
      </c>
      <c r="L9" s="261">
        <f t="shared" si="0"/>
        <v>55196</v>
      </c>
      <c r="M9" s="266">
        <f t="shared" si="0"/>
        <v>45382.224453985</v>
      </c>
      <c r="N9" s="261">
        <f t="shared" si="0"/>
        <v>42632</v>
      </c>
      <c r="O9" s="288">
        <f t="shared" si="0"/>
        <v>42741</v>
      </c>
      <c r="P9" s="283">
        <f t="shared" si="0"/>
        <v>63299.717153561993</v>
      </c>
      <c r="Q9" s="288">
        <f t="shared" si="0"/>
        <v>55919.813758233002</v>
      </c>
      <c r="R9" s="283">
        <f t="shared" si="0"/>
        <v>68699.830822311982</v>
      </c>
      <c r="T9" s="255"/>
      <c r="U9" s="256"/>
      <c r="V9" s="256"/>
      <c r="W9" s="257"/>
      <c r="X9" s="12"/>
    </row>
    <row r="10" spans="2:24">
      <c r="B10" s="27" t="s">
        <v>13</v>
      </c>
      <c r="C10" s="219">
        <f t="shared" ref="C10:Q10" si="1">C9/C5</f>
        <v>0.59626425481714507</v>
      </c>
      <c r="D10" s="208">
        <f t="shared" si="1"/>
        <v>0.56839741049015724</v>
      </c>
      <c r="E10" s="219">
        <f t="shared" si="1"/>
        <v>0.72020891924467656</v>
      </c>
      <c r="F10" s="208">
        <f t="shared" si="1"/>
        <v>0.70998027325199098</v>
      </c>
      <c r="G10" s="29">
        <f t="shared" si="1"/>
        <v>0.70100515689188003</v>
      </c>
      <c r="H10" s="30">
        <f t="shared" si="1"/>
        <v>0.69146781285509606</v>
      </c>
      <c r="I10" s="29">
        <f t="shared" si="1"/>
        <v>0.63438136477998186</v>
      </c>
      <c r="J10" s="30">
        <f t="shared" si="1"/>
        <v>0.54977547981663211</v>
      </c>
      <c r="K10" s="279">
        <f t="shared" si="1"/>
        <v>0.65538215514656539</v>
      </c>
      <c r="L10" s="280">
        <f t="shared" si="1"/>
        <v>0.60552471641398076</v>
      </c>
      <c r="M10" s="280">
        <f t="shared" si="1"/>
        <v>0.62295883558119092</v>
      </c>
      <c r="N10" s="280">
        <f t="shared" si="1"/>
        <v>0.60190884960749991</v>
      </c>
      <c r="O10" s="289">
        <f t="shared" si="1"/>
        <v>0.68179425417537365</v>
      </c>
      <c r="P10" s="289">
        <f t="shared" si="1"/>
        <v>0.73693783101641908</v>
      </c>
      <c r="Q10" s="289">
        <f t="shared" si="1"/>
        <v>0.6873217930190022</v>
      </c>
      <c r="R10" s="289">
        <f>IFERROR(R9/R5,0)</f>
        <v>0.70250180874971724</v>
      </c>
      <c r="T10" s="255"/>
      <c r="U10" s="256"/>
      <c r="V10" s="12"/>
      <c r="W10" s="12"/>
      <c r="X10" s="12"/>
    </row>
    <row r="11" spans="2:24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290"/>
      <c r="R11" s="291"/>
      <c r="T11" s="255"/>
      <c r="U11" s="256"/>
      <c r="V11" s="12"/>
      <c r="W11" s="12"/>
      <c r="X11" s="12"/>
    </row>
    <row r="12" spans="2:24">
      <c r="B12" s="27" t="s">
        <v>14</v>
      </c>
      <c r="C12" s="191">
        <v>32036</v>
      </c>
      <c r="D12" s="180">
        <v>36218</v>
      </c>
      <c r="E12" s="191">
        <v>33732</v>
      </c>
      <c r="F12" s="180">
        <v>38706</v>
      </c>
      <c r="G12" s="78">
        <v>49824</v>
      </c>
      <c r="H12" s="48">
        <v>42482</v>
      </c>
      <c r="I12" s="78">
        <v>38037</v>
      </c>
      <c r="J12" s="48">
        <v>43162</v>
      </c>
      <c r="K12" s="264">
        <v>42039</v>
      </c>
      <c r="L12" s="265">
        <v>46009</v>
      </c>
      <c r="M12" s="264">
        <v>42887.383065868999</v>
      </c>
      <c r="N12" s="265">
        <v>35833</v>
      </c>
      <c r="O12" s="286">
        <v>49539</v>
      </c>
      <c r="P12" s="287">
        <v>48243.188741834638</v>
      </c>
      <c r="Q12" s="286">
        <v>54857.070148725456</v>
      </c>
      <c r="R12" s="287">
        <v>46946</v>
      </c>
      <c r="S12" s="12"/>
      <c r="T12" s="255"/>
      <c r="U12" s="256"/>
      <c r="V12" s="12"/>
      <c r="W12" s="12"/>
      <c r="X12" s="12"/>
    </row>
    <row r="13" spans="2:24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284"/>
      <c r="R13" s="292"/>
      <c r="T13" s="255"/>
      <c r="U13" s="256"/>
      <c r="V13" s="12"/>
      <c r="W13" s="12"/>
      <c r="X13" s="12"/>
    </row>
    <row r="14" spans="2:24">
      <c r="B14" s="91" t="s">
        <v>15</v>
      </c>
      <c r="C14" s="218">
        <f t="shared" ref="C14:E14" si="2">C9-C12</f>
        <v>-1710</v>
      </c>
      <c r="D14" s="181">
        <f t="shared" si="2"/>
        <v>6804</v>
      </c>
      <c r="E14" s="218">
        <f t="shared" si="2"/>
        <v>2120</v>
      </c>
      <c r="F14" s="181">
        <f>F9-F12</f>
        <v>164</v>
      </c>
      <c r="G14" s="117">
        <f t="shared" ref="G14:I14" si="3">G9-G12</f>
        <v>-9723</v>
      </c>
      <c r="H14" s="56">
        <f t="shared" si="3"/>
        <v>13502</v>
      </c>
      <c r="I14" s="117">
        <f t="shared" si="3"/>
        <v>-972</v>
      </c>
      <c r="J14" s="56">
        <f>J9-J12</f>
        <v>3730</v>
      </c>
      <c r="K14" s="266">
        <f t="shared" ref="K14:M14" si="4">K9-K12</f>
        <v>3862</v>
      </c>
      <c r="L14" s="261">
        <f t="shared" si="4"/>
        <v>9187</v>
      </c>
      <c r="M14" s="266">
        <f t="shared" si="4"/>
        <v>2494.8413881160013</v>
      </c>
      <c r="N14" s="261">
        <f>N9-N12</f>
        <v>6799</v>
      </c>
      <c r="O14" s="288">
        <f t="shared" ref="O14:Q14" si="5">O9-O12</f>
        <v>-6798</v>
      </c>
      <c r="P14" s="283">
        <f t="shared" si="5"/>
        <v>15056.528411727355</v>
      </c>
      <c r="Q14" s="288">
        <f t="shared" si="5"/>
        <v>1062.7436095075464</v>
      </c>
      <c r="R14" s="283">
        <f>R9-R12</f>
        <v>21753.830822311982</v>
      </c>
      <c r="T14" s="255"/>
      <c r="U14" s="257"/>
      <c r="V14" s="257"/>
      <c r="W14" s="257"/>
      <c r="X14" s="12"/>
    </row>
    <row r="15" spans="2:24">
      <c r="B15" s="27" t="s">
        <v>16</v>
      </c>
      <c r="C15" s="219">
        <f t="shared" ref="C15:Q15" si="6">C14/C5</f>
        <v>-3.3621706645694062E-2</v>
      </c>
      <c r="D15" s="208">
        <f t="shared" si="6"/>
        <v>8.989298454221166E-2</v>
      </c>
      <c r="E15" s="260">
        <f t="shared" si="6"/>
        <v>4.2587384491763761E-2</v>
      </c>
      <c r="F15" s="259">
        <f t="shared" si="6"/>
        <v>2.9955432161905458E-3</v>
      </c>
      <c r="G15" s="29">
        <f t="shared" si="6"/>
        <v>-0.1699676601695656</v>
      </c>
      <c r="H15" s="30">
        <f t="shared" si="6"/>
        <v>0.16676547601403094</v>
      </c>
      <c r="I15" s="29">
        <f t="shared" si="6"/>
        <v>-1.663614424837832E-2</v>
      </c>
      <c r="J15" s="30">
        <f t="shared" si="6"/>
        <v>4.3731607517615748E-2</v>
      </c>
      <c r="K15" s="279">
        <f t="shared" si="6"/>
        <v>5.5142281936690608E-2</v>
      </c>
      <c r="L15" s="279">
        <f t="shared" si="6"/>
        <v>0.10078548390635628</v>
      </c>
      <c r="M15" s="279">
        <f t="shared" si="6"/>
        <v>3.4246525039255404E-2</v>
      </c>
      <c r="N15" s="279">
        <f t="shared" si="6"/>
        <v>9.5993110069464052E-2</v>
      </c>
      <c r="O15" s="297">
        <f t="shared" si="6"/>
        <v>-0.10844007720652746</v>
      </c>
      <c r="P15" s="300">
        <f t="shared" si="6"/>
        <v>0.1752887041099688</v>
      </c>
      <c r="Q15" s="297">
        <f t="shared" si="6"/>
        <v>1.3062397638952622E-2</v>
      </c>
      <c r="R15" s="300">
        <f>IFERROR(R14/R5,0)</f>
        <v>0.22244749829786004</v>
      </c>
      <c r="T15" s="255"/>
      <c r="U15" s="256"/>
      <c r="V15" s="12"/>
      <c r="W15" s="12"/>
      <c r="X15" s="12"/>
    </row>
    <row r="16" spans="2:24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293"/>
      <c r="R16" s="294"/>
      <c r="T16" s="255"/>
      <c r="U16" s="256"/>
      <c r="V16" s="12"/>
      <c r="W16" s="12"/>
      <c r="X16" s="12"/>
    </row>
    <row r="17" spans="2:24">
      <c r="B17" s="27" t="s">
        <v>28</v>
      </c>
      <c r="C17" s="190">
        <v>6095</v>
      </c>
      <c r="D17" s="196">
        <v>5113</v>
      </c>
      <c r="E17" s="196">
        <v>5282</v>
      </c>
      <c r="F17" s="196">
        <v>3673</v>
      </c>
      <c r="G17" s="82">
        <v>6917</v>
      </c>
      <c r="H17" s="83">
        <v>6648</v>
      </c>
      <c r="I17" s="82">
        <v>5536</v>
      </c>
      <c r="J17" s="83">
        <v>7770</v>
      </c>
      <c r="K17" s="274">
        <v>5883</v>
      </c>
      <c r="L17" s="275">
        <v>5219</v>
      </c>
      <c r="M17" s="274">
        <v>5383.4491028401917</v>
      </c>
      <c r="N17" s="275">
        <v>5285</v>
      </c>
      <c r="O17" s="295">
        <v>4890</v>
      </c>
      <c r="P17" s="296">
        <v>4980.7478029141157</v>
      </c>
      <c r="Q17" s="295">
        <v>3640.2854643415735</v>
      </c>
      <c r="R17" s="296">
        <v>4451.8753442392681</v>
      </c>
      <c r="T17" s="255"/>
      <c r="U17" s="256"/>
      <c r="V17" s="12"/>
      <c r="W17" s="12"/>
      <c r="X17" s="12"/>
    </row>
    <row r="18" spans="2:24">
      <c r="B18" s="27" t="s">
        <v>19</v>
      </c>
      <c r="C18" s="190">
        <v>0</v>
      </c>
      <c r="D18" s="196">
        <v>0</v>
      </c>
      <c r="E18" s="196">
        <v>0</v>
      </c>
      <c r="F18" s="196">
        <v>0</v>
      </c>
      <c r="G18" s="82">
        <v>0</v>
      </c>
      <c r="H18" s="83">
        <v>0</v>
      </c>
      <c r="I18" s="83"/>
      <c r="J18" s="83"/>
      <c r="K18" s="274">
        <v>0</v>
      </c>
      <c r="L18" s="275"/>
      <c r="M18" s="275"/>
      <c r="N18" s="275"/>
      <c r="O18" s="295"/>
      <c r="P18" s="296"/>
      <c r="Q18" s="296"/>
      <c r="R18" s="296"/>
      <c r="T18" s="255"/>
      <c r="U18" s="256"/>
      <c r="V18" s="12"/>
      <c r="W18" s="12"/>
      <c r="X18" s="12"/>
    </row>
    <row r="19" spans="2:24">
      <c r="B19" s="93" t="s">
        <v>147</v>
      </c>
      <c r="C19" s="190"/>
      <c r="D19" s="196"/>
      <c r="E19" s="197"/>
      <c r="F19" s="258"/>
      <c r="G19" s="82"/>
      <c r="H19" s="83"/>
      <c r="I19" s="82"/>
      <c r="J19" s="83"/>
      <c r="K19" s="274">
        <v>0</v>
      </c>
      <c r="L19" s="275"/>
      <c r="M19" s="274"/>
      <c r="N19" s="275"/>
      <c r="O19" s="295"/>
      <c r="P19" s="296"/>
      <c r="Q19" s="295"/>
      <c r="R19" s="296"/>
      <c r="T19" s="255"/>
      <c r="U19" s="256"/>
      <c r="V19" s="12"/>
      <c r="W19" s="12"/>
      <c r="X19" s="12"/>
    </row>
    <row r="20" spans="2:24">
      <c r="B20" s="91" t="s">
        <v>20</v>
      </c>
      <c r="C20" s="218">
        <f t="shared" ref="C20:N20" si="7">C14-C17-C18</f>
        <v>-7805</v>
      </c>
      <c r="D20" s="181">
        <f t="shared" si="7"/>
        <v>1691</v>
      </c>
      <c r="E20" s="218">
        <f t="shared" si="7"/>
        <v>-3162</v>
      </c>
      <c r="F20" s="181">
        <f t="shared" si="7"/>
        <v>-3509</v>
      </c>
      <c r="G20" s="117">
        <f>G14-G17-G18</f>
        <v>-16640</v>
      </c>
      <c r="H20" s="56">
        <f t="shared" si="7"/>
        <v>6854</v>
      </c>
      <c r="I20" s="117">
        <f t="shared" si="7"/>
        <v>-6508</v>
      </c>
      <c r="J20" s="56">
        <f t="shared" si="7"/>
        <v>-4040</v>
      </c>
      <c r="K20" s="266">
        <f t="shared" si="7"/>
        <v>-2021</v>
      </c>
      <c r="L20" s="261">
        <f t="shared" si="7"/>
        <v>3968</v>
      </c>
      <c r="M20" s="266">
        <f t="shared" si="7"/>
        <v>-2888.6077147241904</v>
      </c>
      <c r="N20" s="261">
        <f t="shared" si="7"/>
        <v>1514</v>
      </c>
      <c r="O20" s="283">
        <f>O14-O17-O18+O19</f>
        <v>-11688</v>
      </c>
      <c r="P20" s="283">
        <f t="shared" ref="P20:R20" si="8">P14-P17-P18</f>
        <v>10075.780608813238</v>
      </c>
      <c r="Q20" s="288">
        <f t="shared" si="8"/>
        <v>-2577.5418548340272</v>
      </c>
      <c r="R20" s="283">
        <f t="shared" si="8"/>
        <v>17301.955478072712</v>
      </c>
      <c r="T20" s="255"/>
      <c r="U20" s="257"/>
      <c r="V20" s="257"/>
      <c r="W20" s="257"/>
      <c r="X20" s="12"/>
    </row>
    <row r="21" spans="2:24">
      <c r="B21" s="27" t="s">
        <v>21</v>
      </c>
      <c r="C21" s="219">
        <f t="shared" ref="C21:Q21" si="9">C20/C5</f>
        <v>-0.15346047974832874</v>
      </c>
      <c r="D21" s="219">
        <f t="shared" si="9"/>
        <v>2.2341128286431498E-2</v>
      </c>
      <c r="E21" s="219">
        <f t="shared" si="9"/>
        <v>-6.3519485737243878E-2</v>
      </c>
      <c r="F21" s="219">
        <f t="shared" si="9"/>
        <v>-6.4093665522028206E-2</v>
      </c>
      <c r="G21" s="29">
        <f t="shared" si="9"/>
        <v>-0.29088366401538329</v>
      </c>
      <c r="H21" s="29">
        <f t="shared" si="9"/>
        <v>8.4654908354330316E-2</v>
      </c>
      <c r="I21" s="29">
        <f t="shared" si="9"/>
        <v>-0.11138685881527376</v>
      </c>
      <c r="J21" s="29">
        <f t="shared" si="9"/>
        <v>-4.7366137901117322E-2</v>
      </c>
      <c r="K21" s="267">
        <f t="shared" si="9"/>
        <v>-2.8856176021245912E-2</v>
      </c>
      <c r="L21" s="267">
        <f t="shared" si="9"/>
        <v>4.3530728218180222E-2</v>
      </c>
      <c r="M21" s="267">
        <f t="shared" si="9"/>
        <v>-3.9651729726029643E-2</v>
      </c>
      <c r="N21" s="267">
        <f t="shared" si="9"/>
        <v>2.1375727113570903E-2</v>
      </c>
      <c r="O21" s="297">
        <f t="shared" si="9"/>
        <v>-0.18644419276109045</v>
      </c>
      <c r="P21" s="297">
        <f t="shared" si="9"/>
        <v>0.11730263959383729</v>
      </c>
      <c r="Q21" s="297">
        <f t="shared" si="9"/>
        <v>-3.1681090657874694E-2</v>
      </c>
      <c r="R21" s="297">
        <f>IFERROR(R20/R5,0)</f>
        <v>0.17692408951763577</v>
      </c>
      <c r="T21" s="255"/>
      <c r="U21" s="256"/>
      <c r="W21" s="12"/>
    </row>
    <row r="22" spans="2:24" ht="15.45">
      <c r="B22" s="7"/>
      <c r="C22" s="251"/>
      <c r="D22" s="251"/>
      <c r="E22" s="251"/>
      <c r="F22" s="251"/>
      <c r="G22" s="4"/>
      <c r="H22" s="4"/>
      <c r="I22" s="4"/>
      <c r="J22" s="4"/>
      <c r="K22" s="4"/>
      <c r="L22" s="4"/>
      <c r="M22" s="4"/>
      <c r="N22" s="4"/>
      <c r="O22" s="298"/>
      <c r="P22" s="298"/>
      <c r="Q22" s="298"/>
      <c r="R22" s="298"/>
      <c r="T22" s="255"/>
      <c r="U22" s="256"/>
    </row>
    <row r="23" spans="2:24" s="350" customFormat="1" ht="15.45">
      <c r="B23" s="347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T23" s="349"/>
      <c r="U23" s="351"/>
    </row>
    <row r="24" spans="2:24" s="350" customFormat="1">
      <c r="B24" s="405" t="s">
        <v>22</v>
      </c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T24" s="349"/>
      <c r="U24" s="351"/>
    </row>
    <row r="25" spans="2:24" s="350" customFormat="1" ht="15" thickBot="1"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T25" s="349"/>
      <c r="U25" s="351"/>
    </row>
    <row r="26" spans="2:24" s="350" customFormat="1" ht="15" thickBot="1">
      <c r="B26" s="27" t="s">
        <v>1</v>
      </c>
      <c r="C26" s="406">
        <v>2019</v>
      </c>
      <c r="D26" s="407"/>
      <c r="E26" s="407"/>
      <c r="F26" s="408"/>
      <c r="G26" s="398">
        <v>2020</v>
      </c>
      <c r="H26" s="399"/>
      <c r="I26" s="399"/>
      <c r="J26" s="400"/>
      <c r="K26" s="409">
        <v>2021</v>
      </c>
      <c r="L26" s="410"/>
      <c r="M26" s="410"/>
      <c r="N26" s="411"/>
      <c r="O26" s="412">
        <v>2022</v>
      </c>
      <c r="P26" s="413"/>
      <c r="Q26" s="413"/>
      <c r="R26" s="413"/>
      <c r="T26" s="349"/>
      <c r="U26" s="351"/>
    </row>
    <row r="27" spans="2:24" s="350" customFormat="1">
      <c r="B27" s="353" t="s">
        <v>149</v>
      </c>
      <c r="C27" s="224" t="s">
        <v>2</v>
      </c>
      <c r="D27" s="224" t="s">
        <v>3</v>
      </c>
      <c r="E27" s="224" t="s">
        <v>4</v>
      </c>
      <c r="F27" s="366" t="s">
        <v>5</v>
      </c>
      <c r="G27" s="134" t="s">
        <v>2</v>
      </c>
      <c r="H27" s="134" t="s">
        <v>3</v>
      </c>
      <c r="I27" s="134" t="s">
        <v>4</v>
      </c>
      <c r="J27" s="135" t="s">
        <v>5</v>
      </c>
      <c r="K27" s="358" t="s">
        <v>2</v>
      </c>
      <c r="L27" s="358" t="s">
        <v>3</v>
      </c>
      <c r="M27" s="358" t="s">
        <v>4</v>
      </c>
      <c r="N27" s="360" t="s">
        <v>5</v>
      </c>
      <c r="O27" s="362" t="s">
        <v>2</v>
      </c>
      <c r="P27" s="362" t="s">
        <v>3</v>
      </c>
      <c r="Q27" s="362" t="s">
        <v>4</v>
      </c>
      <c r="R27" s="364" t="s">
        <v>5</v>
      </c>
      <c r="T27" s="349"/>
      <c r="U27" s="351"/>
    </row>
    <row r="28" spans="2:24" s="350" customFormat="1" ht="15.45">
      <c r="B28" s="354" t="s">
        <v>150</v>
      </c>
      <c r="C28" s="367"/>
      <c r="D28" s="367"/>
      <c r="E28" s="367"/>
      <c r="F28" s="368"/>
      <c r="G28" s="369"/>
      <c r="H28" s="369"/>
      <c r="I28" s="369"/>
      <c r="J28" s="370"/>
      <c r="K28" s="379">
        <v>51480.618519148004</v>
      </c>
      <c r="L28" s="379">
        <v>52704.542147968001</v>
      </c>
      <c r="M28" s="379">
        <v>54724.958350595996</v>
      </c>
      <c r="N28" s="380"/>
      <c r="O28" s="381">
        <v>7013.6384484240007</v>
      </c>
      <c r="P28" s="363">
        <v>7746.1605482255982</v>
      </c>
      <c r="Q28" s="363">
        <v>71576.864605095994</v>
      </c>
      <c r="R28" s="365">
        <v>70360</v>
      </c>
      <c r="T28" s="349"/>
      <c r="U28" s="351"/>
    </row>
    <row r="29" spans="2:24" s="350" customFormat="1" ht="15.45">
      <c r="B29" s="355" t="s">
        <v>151</v>
      </c>
      <c r="C29" s="367"/>
      <c r="D29" s="367"/>
      <c r="E29" s="367"/>
      <c r="F29" s="368"/>
      <c r="G29" s="369"/>
      <c r="H29" s="369"/>
      <c r="I29" s="369"/>
      <c r="J29" s="370"/>
      <c r="K29" s="379">
        <v>7670.4829793600002</v>
      </c>
      <c r="L29" s="379">
        <v>7307.8016091039999</v>
      </c>
      <c r="M29" s="379">
        <v>10617.474745644</v>
      </c>
      <c r="N29" s="380"/>
      <c r="O29" s="381">
        <v>70147.21946216801</v>
      </c>
      <c r="P29" s="363">
        <v>79021.316410802392</v>
      </c>
      <c r="Q29" s="363">
        <v>40556.032401139993</v>
      </c>
      <c r="R29" s="365">
        <v>26570</v>
      </c>
      <c r="T29" s="349"/>
      <c r="U29" s="351"/>
    </row>
    <row r="30" spans="2:24" s="350" customFormat="1" ht="15.45">
      <c r="B30" s="356" t="s">
        <v>149</v>
      </c>
      <c r="C30" s="371"/>
      <c r="D30" s="371"/>
      <c r="E30" s="371"/>
      <c r="F30" s="372"/>
      <c r="G30" s="373"/>
      <c r="H30" s="373"/>
      <c r="I30" s="373"/>
      <c r="J30" s="374"/>
      <c r="K30" s="382">
        <v>59151.101498508004</v>
      </c>
      <c r="L30" s="382">
        <v>60012.343757071998</v>
      </c>
      <c r="M30" s="382">
        <v>65342.433096239998</v>
      </c>
      <c r="N30" s="383"/>
      <c r="O30" s="384">
        <f>SUM(O28:O29)</f>
        <v>77160.857910592007</v>
      </c>
      <c r="P30" s="384">
        <f>SUM(P28:P29)</f>
        <v>86767.47695902799</v>
      </c>
      <c r="Q30" s="377">
        <v>112132.89700623599</v>
      </c>
      <c r="R30" s="377">
        <f>SUM(R28:R29)</f>
        <v>96930</v>
      </c>
      <c r="T30" s="349"/>
      <c r="U30" s="351"/>
    </row>
    <row r="31" spans="2:24" s="350" customFormat="1" ht="15.45">
      <c r="B31" s="357"/>
      <c r="C31" s="367"/>
      <c r="D31" s="367"/>
      <c r="E31" s="367"/>
      <c r="F31" s="368"/>
      <c r="G31" s="369"/>
      <c r="H31" s="369"/>
      <c r="I31" s="369"/>
      <c r="J31" s="370"/>
      <c r="K31" s="379"/>
      <c r="L31" s="379"/>
      <c r="M31" s="379"/>
      <c r="N31" s="380"/>
      <c r="O31" s="381"/>
      <c r="P31" s="363"/>
      <c r="Q31" s="363"/>
      <c r="R31" s="365"/>
      <c r="T31" s="349"/>
      <c r="U31" s="351"/>
    </row>
    <row r="32" spans="2:24" s="350" customFormat="1" ht="15.45">
      <c r="B32" s="355" t="s">
        <v>152</v>
      </c>
      <c r="C32" s="367"/>
      <c r="D32" s="367"/>
      <c r="E32" s="367"/>
      <c r="F32" s="368"/>
      <c r="G32" s="369"/>
      <c r="H32" s="369"/>
      <c r="I32" s="369"/>
      <c r="J32" s="370"/>
      <c r="K32" s="379">
        <v>14787.775374627001</v>
      </c>
      <c r="L32" s="379">
        <v>15003</v>
      </c>
      <c r="M32" s="379">
        <v>16335</v>
      </c>
      <c r="N32" s="380"/>
      <c r="O32" s="381">
        <v>19290.214477648002</v>
      </c>
      <c r="P32" s="363">
        <v>21692</v>
      </c>
      <c r="Q32" s="363">
        <v>28033</v>
      </c>
      <c r="R32" s="365">
        <v>27915</v>
      </c>
      <c r="T32" s="349"/>
      <c r="U32" s="351"/>
    </row>
    <row r="33" spans="2:21" s="350" customFormat="1" ht="15.45">
      <c r="B33" s="355" t="s">
        <v>153</v>
      </c>
      <c r="C33" s="367"/>
      <c r="D33" s="367"/>
      <c r="E33" s="367"/>
      <c r="F33" s="368"/>
      <c r="G33" s="369"/>
      <c r="H33" s="369"/>
      <c r="I33" s="369"/>
      <c r="J33" s="370"/>
      <c r="K33" s="379">
        <v>55249.224625372997</v>
      </c>
      <c r="L33" s="379">
        <v>76151</v>
      </c>
      <c r="M33" s="379">
        <v>56514</v>
      </c>
      <c r="N33" s="380"/>
      <c r="O33" s="381">
        <v>43398.785522352002</v>
      </c>
      <c r="P33" s="363">
        <v>64204</v>
      </c>
      <c r="Q33" s="363">
        <v>53326</v>
      </c>
      <c r="R33" s="365">
        <v>69878</v>
      </c>
      <c r="T33" s="349"/>
      <c r="U33" s="351"/>
    </row>
    <row r="34" spans="2:21" s="350" customFormat="1" ht="15.45">
      <c r="B34" s="356" t="s">
        <v>154</v>
      </c>
      <c r="C34" s="371"/>
      <c r="D34" s="371"/>
      <c r="E34" s="371"/>
      <c r="F34" s="372"/>
      <c r="G34" s="373"/>
      <c r="H34" s="373"/>
      <c r="I34" s="373"/>
      <c r="J34" s="374"/>
      <c r="K34" s="382">
        <v>70037</v>
      </c>
      <c r="L34" s="382">
        <v>91154</v>
      </c>
      <c r="M34" s="382">
        <v>72849</v>
      </c>
      <c r="N34" s="383"/>
      <c r="O34" s="384">
        <f>SUM(O32:O33)</f>
        <v>62689</v>
      </c>
      <c r="P34" s="384">
        <f>SUM(P32:P33)</f>
        <v>85896</v>
      </c>
      <c r="Q34" s="377">
        <v>81359</v>
      </c>
      <c r="R34" s="377">
        <f>SUM(R32:R33)</f>
        <v>97793</v>
      </c>
      <c r="T34" s="349"/>
      <c r="U34" s="351"/>
    </row>
    <row r="36" spans="2:2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2:21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2:21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41" spans="2:21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2:21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6" spans="2:2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51" spans="3:18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3:18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3:18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</sheetData>
  <mergeCells count="9">
    <mergeCell ref="C26:F26"/>
    <mergeCell ref="G26:J26"/>
    <mergeCell ref="K26:N26"/>
    <mergeCell ref="O26:R26"/>
    <mergeCell ref="C3:F3"/>
    <mergeCell ref="G3:J3"/>
    <mergeCell ref="K3:N3"/>
    <mergeCell ref="O3:R3"/>
    <mergeCell ref="B24:R24"/>
  </mergeCells>
  <pageMargins left="0.7" right="0.7" top="0.75" bottom="0.75" header="0.3" footer="0.3"/>
  <pageSetup paperSize="9" scale="57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6EB6-D6E6-456B-8C68-DED933F86544}">
  <dimension ref="B1:X54"/>
  <sheetViews>
    <sheetView view="pageBreakPreview" zoomScaleNormal="100" zoomScaleSheetLayoutView="100" workbookViewId="0">
      <selection activeCell="E45" sqref="E45"/>
    </sheetView>
  </sheetViews>
  <sheetFormatPr defaultColWidth="9.07421875" defaultRowHeight="14.6"/>
  <cols>
    <col min="1" max="1" width="2.4609375" customWidth="1"/>
    <col min="2" max="2" width="43.4609375" customWidth="1"/>
    <col min="3" max="18" width="10.69140625" customWidth="1"/>
    <col min="21" max="21" width="11.07421875" bestFit="1" customWidth="1"/>
  </cols>
  <sheetData>
    <row r="1" spans="2:24" ht="15" thickBot="1"/>
    <row r="2" spans="2:24" ht="15.9" thickBot="1">
      <c r="B2" s="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T2" s="255"/>
    </row>
    <row r="3" spans="2:24" ht="15" thickBot="1">
      <c r="B3" s="88"/>
      <c r="C3" s="406">
        <v>2019</v>
      </c>
      <c r="D3" s="407"/>
      <c r="E3" s="407"/>
      <c r="F3" s="408"/>
      <c r="G3" s="398">
        <v>2020</v>
      </c>
      <c r="H3" s="399"/>
      <c r="I3" s="399"/>
      <c r="J3" s="400"/>
      <c r="K3" s="409">
        <v>2021</v>
      </c>
      <c r="L3" s="410"/>
      <c r="M3" s="410"/>
      <c r="N3" s="411"/>
      <c r="O3" s="412">
        <v>2022</v>
      </c>
      <c r="P3" s="413"/>
      <c r="Q3" s="413"/>
      <c r="R3" s="413"/>
      <c r="T3" s="255"/>
    </row>
    <row r="4" spans="2:24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T4" s="255"/>
      <c r="U4" s="256"/>
    </row>
    <row r="5" spans="2:24">
      <c r="B5" s="91" t="s">
        <v>9</v>
      </c>
      <c r="C5" s="181">
        <v>31041</v>
      </c>
      <c r="D5" s="181">
        <v>21146</v>
      </c>
      <c r="E5" s="181">
        <v>27792</v>
      </c>
      <c r="F5" s="181">
        <v>35556</v>
      </c>
      <c r="G5" s="56">
        <v>8057</v>
      </c>
      <c r="H5" s="56">
        <v>5570</v>
      </c>
      <c r="I5" s="56">
        <v>9885</v>
      </c>
      <c r="J5" s="56">
        <v>11584</v>
      </c>
      <c r="K5" s="261">
        <v>2466</v>
      </c>
      <c r="L5" s="261"/>
      <c r="M5" s="261"/>
      <c r="N5" s="261"/>
      <c r="O5" s="283">
        <v>0</v>
      </c>
      <c r="P5" s="283"/>
      <c r="Q5" s="283"/>
      <c r="R5" s="283"/>
      <c r="T5" s="255"/>
      <c r="U5" s="256"/>
      <c r="V5" s="256"/>
      <c r="W5" s="12"/>
      <c r="X5" s="12"/>
    </row>
    <row r="6" spans="2:24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284"/>
      <c r="R6" s="285"/>
      <c r="T6" s="255"/>
      <c r="U6" s="256"/>
      <c r="V6" s="12"/>
      <c r="W6" s="12"/>
    </row>
    <row r="7" spans="2:24">
      <c r="B7" s="27" t="s">
        <v>10</v>
      </c>
      <c r="C7" s="191">
        <v>13480</v>
      </c>
      <c r="D7" s="180">
        <v>8127</v>
      </c>
      <c r="E7" s="191">
        <v>9852</v>
      </c>
      <c r="F7" s="180">
        <v>7615</v>
      </c>
      <c r="G7" s="78">
        <v>2286</v>
      </c>
      <c r="H7" s="48">
        <v>4486</v>
      </c>
      <c r="I7" s="78">
        <v>1704</v>
      </c>
      <c r="J7" s="48">
        <v>4479</v>
      </c>
      <c r="K7" s="264">
        <v>509</v>
      </c>
      <c r="L7" s="265"/>
      <c r="M7" s="264"/>
      <c r="N7" s="265"/>
      <c r="O7" s="286"/>
      <c r="P7" s="287"/>
      <c r="Q7" s="286"/>
      <c r="R7" s="287"/>
      <c r="T7" s="255"/>
      <c r="U7" s="256"/>
      <c r="V7" s="12"/>
      <c r="W7" s="12"/>
      <c r="X7" s="12"/>
    </row>
    <row r="8" spans="2:24">
      <c r="B8" s="27" t="s">
        <v>113</v>
      </c>
      <c r="C8" s="191">
        <v>2751</v>
      </c>
      <c r="D8" s="180">
        <v>2118</v>
      </c>
      <c r="E8" s="191">
        <v>5737</v>
      </c>
      <c r="F8" s="180">
        <v>11418</v>
      </c>
      <c r="G8" s="78">
        <v>3100</v>
      </c>
      <c r="H8" s="48">
        <v>874</v>
      </c>
      <c r="I8" s="78">
        <v>3128</v>
      </c>
      <c r="J8" s="48">
        <v>6502</v>
      </c>
      <c r="K8" s="264">
        <v>137</v>
      </c>
      <c r="L8" s="265"/>
      <c r="M8" s="264"/>
      <c r="N8" s="265"/>
      <c r="O8" s="286"/>
      <c r="P8" s="287"/>
      <c r="Q8" s="286"/>
      <c r="R8" s="287"/>
      <c r="T8" s="255"/>
      <c r="U8" s="256"/>
      <c r="V8" s="12"/>
      <c r="W8" s="12"/>
      <c r="X8" s="12"/>
    </row>
    <row r="9" spans="2:24">
      <c r="B9" s="89" t="s">
        <v>12</v>
      </c>
      <c r="C9" s="218">
        <f t="shared" ref="C9:R9" si="0">C5-C7-C8</f>
        <v>14810</v>
      </c>
      <c r="D9" s="181">
        <f t="shared" si="0"/>
        <v>10901</v>
      </c>
      <c r="E9" s="218">
        <f t="shared" si="0"/>
        <v>12203</v>
      </c>
      <c r="F9" s="181">
        <f t="shared" si="0"/>
        <v>16523</v>
      </c>
      <c r="G9" s="117">
        <f t="shared" si="0"/>
        <v>2671</v>
      </c>
      <c r="H9" s="56">
        <f t="shared" si="0"/>
        <v>210</v>
      </c>
      <c r="I9" s="117">
        <f t="shared" si="0"/>
        <v>5053</v>
      </c>
      <c r="J9" s="56">
        <f t="shared" si="0"/>
        <v>603</v>
      </c>
      <c r="K9" s="266">
        <f t="shared" si="0"/>
        <v>1820</v>
      </c>
      <c r="L9" s="261">
        <f t="shared" si="0"/>
        <v>0</v>
      </c>
      <c r="M9" s="266">
        <f t="shared" si="0"/>
        <v>0</v>
      </c>
      <c r="N9" s="261">
        <f t="shared" si="0"/>
        <v>0</v>
      </c>
      <c r="O9" s="288">
        <f t="shared" si="0"/>
        <v>0</v>
      </c>
      <c r="P9" s="283">
        <f t="shared" si="0"/>
        <v>0</v>
      </c>
      <c r="Q9" s="288">
        <f t="shared" si="0"/>
        <v>0</v>
      </c>
      <c r="R9" s="283">
        <f t="shared" si="0"/>
        <v>0</v>
      </c>
      <c r="T9" s="255"/>
      <c r="U9" s="256"/>
      <c r="V9" s="256"/>
      <c r="W9" s="257"/>
      <c r="X9" s="12"/>
    </row>
    <row r="10" spans="2:24">
      <c r="B10" s="27" t="s">
        <v>13</v>
      </c>
      <c r="C10" s="219">
        <f t="shared" ref="C10:K10" si="1">C9/C5</f>
        <v>0.47711091781836923</v>
      </c>
      <c r="D10" s="208">
        <f t="shared" si="1"/>
        <v>0.51551120779343607</v>
      </c>
      <c r="E10" s="219">
        <f t="shared" si="1"/>
        <v>0.43908318940702362</v>
      </c>
      <c r="F10" s="208">
        <f t="shared" si="1"/>
        <v>0.46470356620542241</v>
      </c>
      <c r="G10" s="29">
        <f t="shared" si="1"/>
        <v>0.33151297008812214</v>
      </c>
      <c r="H10" s="30">
        <f t="shared" si="1"/>
        <v>3.7701974865350089E-2</v>
      </c>
      <c r="I10" s="29">
        <f t="shared" si="1"/>
        <v>0.51117855336368234</v>
      </c>
      <c r="J10" s="30">
        <f t="shared" si="1"/>
        <v>5.2054558011049724E-2</v>
      </c>
      <c r="K10" s="267">
        <f t="shared" si="1"/>
        <v>0.7380373073803731</v>
      </c>
      <c r="L10" s="268"/>
      <c r="M10" s="267"/>
      <c r="N10" s="268"/>
      <c r="O10" s="289">
        <f>IFERROR(O9/O5,0)</f>
        <v>0</v>
      </c>
      <c r="P10" s="289">
        <f t="shared" ref="P10:R10" si="2">IFERROR(P9/P5,0)</f>
        <v>0</v>
      </c>
      <c r="Q10" s="289">
        <f t="shared" si="2"/>
        <v>0</v>
      </c>
      <c r="R10" s="289">
        <f t="shared" si="2"/>
        <v>0</v>
      </c>
      <c r="T10" s="255"/>
      <c r="U10" s="256"/>
      <c r="V10" s="12"/>
      <c r="W10" s="12"/>
      <c r="X10" s="12"/>
    </row>
    <row r="11" spans="2:24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290"/>
      <c r="R11" s="291"/>
      <c r="T11" s="255"/>
      <c r="U11" s="256"/>
      <c r="V11" s="12"/>
      <c r="W11" s="12"/>
      <c r="X11" s="12"/>
    </row>
    <row r="12" spans="2:24">
      <c r="B12" s="27" t="s">
        <v>14</v>
      </c>
      <c r="C12" s="191">
        <v>11458</v>
      </c>
      <c r="D12" s="180">
        <v>12135</v>
      </c>
      <c r="E12" s="191">
        <v>12934</v>
      </c>
      <c r="F12" s="180">
        <v>14085</v>
      </c>
      <c r="G12" s="78">
        <v>5139</v>
      </c>
      <c r="H12" s="48">
        <v>4575</v>
      </c>
      <c r="I12" s="78">
        <v>4719</v>
      </c>
      <c r="J12" s="48">
        <v>6583</v>
      </c>
      <c r="K12" s="264">
        <v>3609</v>
      </c>
      <c r="L12" s="265"/>
      <c r="M12" s="264"/>
      <c r="N12" s="265"/>
      <c r="O12" s="286"/>
      <c r="P12" s="287"/>
      <c r="Q12" s="286"/>
      <c r="R12" s="287"/>
      <c r="S12" s="12"/>
      <c r="T12" s="255"/>
      <c r="U12" s="256"/>
      <c r="V12" s="12"/>
      <c r="W12" s="12"/>
      <c r="X12" s="12"/>
    </row>
    <row r="13" spans="2:24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284"/>
      <c r="R13" s="292"/>
      <c r="T13" s="255"/>
      <c r="U13" s="256"/>
      <c r="V13" s="12"/>
      <c r="W13" s="12"/>
      <c r="X13" s="12"/>
    </row>
    <row r="14" spans="2:24">
      <c r="B14" s="91" t="s">
        <v>15</v>
      </c>
      <c r="C14" s="218">
        <f t="shared" ref="C14:E14" si="3">C9-C12</f>
        <v>3352</v>
      </c>
      <c r="D14" s="181">
        <f t="shared" si="3"/>
        <v>-1234</v>
      </c>
      <c r="E14" s="218">
        <f t="shared" si="3"/>
        <v>-731</v>
      </c>
      <c r="F14" s="181">
        <f>F9-F12</f>
        <v>2438</v>
      </c>
      <c r="G14" s="117">
        <f t="shared" ref="G14:I14" si="4">G9-G12</f>
        <v>-2468</v>
      </c>
      <c r="H14" s="56">
        <f t="shared" si="4"/>
        <v>-4365</v>
      </c>
      <c r="I14" s="117">
        <f t="shared" si="4"/>
        <v>334</v>
      </c>
      <c r="J14" s="56">
        <f>J9-J12</f>
        <v>-5980</v>
      </c>
      <c r="K14" s="266">
        <f t="shared" ref="K14:M14" si="5">K9-K12</f>
        <v>-1789</v>
      </c>
      <c r="L14" s="261">
        <f t="shared" si="5"/>
        <v>0</v>
      </c>
      <c r="M14" s="266">
        <f t="shared" si="5"/>
        <v>0</v>
      </c>
      <c r="N14" s="261">
        <f>N9-N12</f>
        <v>0</v>
      </c>
      <c r="O14" s="288">
        <f t="shared" ref="O14:Q14" si="6">O9-O12</f>
        <v>0</v>
      </c>
      <c r="P14" s="283">
        <f t="shared" si="6"/>
        <v>0</v>
      </c>
      <c r="Q14" s="288">
        <f t="shared" si="6"/>
        <v>0</v>
      </c>
      <c r="R14" s="283">
        <f>R9-R12</f>
        <v>0</v>
      </c>
      <c r="T14" s="255"/>
      <c r="U14" s="257"/>
      <c r="V14" s="257"/>
      <c r="W14" s="257"/>
      <c r="X14" s="12"/>
    </row>
    <row r="15" spans="2:24">
      <c r="B15" s="27" t="s">
        <v>16</v>
      </c>
      <c r="C15" s="219">
        <f t="shared" ref="C15:K15" si="7">C14/C5</f>
        <v>0.10798621178441416</v>
      </c>
      <c r="D15" s="208">
        <f t="shared" si="7"/>
        <v>-5.8356190296037079E-2</v>
      </c>
      <c r="E15" s="260">
        <f t="shared" si="7"/>
        <v>-2.6302533103051237E-2</v>
      </c>
      <c r="F15" s="259">
        <f t="shared" si="7"/>
        <v>6.8567892901338731E-2</v>
      </c>
      <c r="G15" s="29">
        <f t="shared" si="7"/>
        <v>-0.3063174878987216</v>
      </c>
      <c r="H15" s="30">
        <f t="shared" si="7"/>
        <v>-0.78366247755834828</v>
      </c>
      <c r="I15" s="29">
        <f t="shared" si="7"/>
        <v>3.3788568538189179E-2</v>
      </c>
      <c r="J15" s="30">
        <f t="shared" si="7"/>
        <v>-0.51622928176795579</v>
      </c>
      <c r="K15" s="267">
        <f t="shared" si="7"/>
        <v>-0.72546634225466344</v>
      </c>
      <c r="L15" s="268"/>
      <c r="M15" s="267"/>
      <c r="N15" s="268"/>
      <c r="O15" s="297">
        <f>IFERROR(O14/O5,0)</f>
        <v>0</v>
      </c>
      <c r="P15" s="297">
        <f t="shared" ref="P15:R15" si="8">IFERROR(P14/P5,0)</f>
        <v>0</v>
      </c>
      <c r="Q15" s="297">
        <f t="shared" si="8"/>
        <v>0</v>
      </c>
      <c r="R15" s="297">
        <f t="shared" si="8"/>
        <v>0</v>
      </c>
      <c r="T15" s="255"/>
      <c r="U15" s="256"/>
      <c r="V15" s="12"/>
      <c r="W15" s="12"/>
      <c r="X15" s="12"/>
    </row>
    <row r="16" spans="2:24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293"/>
      <c r="R16" s="294"/>
      <c r="T16" s="255"/>
      <c r="U16" s="256"/>
      <c r="V16" s="12"/>
      <c r="W16" s="12"/>
      <c r="X16" s="12"/>
    </row>
    <row r="17" spans="2:24">
      <c r="B17" s="27" t="s">
        <v>28</v>
      </c>
      <c r="C17" s="190">
        <v>3897</v>
      </c>
      <c r="D17" s="196">
        <v>3409</v>
      </c>
      <c r="E17" s="196">
        <v>3357</v>
      </c>
      <c r="F17" s="196">
        <v>3496</v>
      </c>
      <c r="G17" s="82">
        <v>254</v>
      </c>
      <c r="H17" s="83">
        <v>250</v>
      </c>
      <c r="I17" s="82">
        <v>29</v>
      </c>
      <c r="J17" s="83">
        <v>32</v>
      </c>
      <c r="K17" s="274">
        <v>71</v>
      </c>
      <c r="L17" s="275"/>
      <c r="M17" s="274"/>
      <c r="N17" s="275"/>
      <c r="O17" s="295"/>
      <c r="P17" s="296"/>
      <c r="Q17" s="295"/>
      <c r="R17" s="296"/>
      <c r="T17" s="255"/>
      <c r="U17" s="256"/>
      <c r="V17" s="12"/>
      <c r="W17" s="12"/>
      <c r="X17" s="12"/>
    </row>
    <row r="18" spans="2:24">
      <c r="B18" s="27" t="s">
        <v>19</v>
      </c>
      <c r="C18" s="190">
        <v>0</v>
      </c>
      <c r="D18" s="196">
        <v>0</v>
      </c>
      <c r="E18" s="196">
        <v>0</v>
      </c>
      <c r="F18" s="196">
        <v>58332</v>
      </c>
      <c r="G18" s="82">
        <v>0</v>
      </c>
      <c r="H18" s="83">
        <v>0</v>
      </c>
      <c r="I18" s="83">
        <v>0</v>
      </c>
      <c r="J18" s="83">
        <v>20538</v>
      </c>
      <c r="K18" s="274">
        <v>0</v>
      </c>
      <c r="L18" s="275"/>
      <c r="M18" s="275"/>
      <c r="N18" s="275"/>
      <c r="O18" s="295"/>
      <c r="P18" s="296"/>
      <c r="Q18" s="296"/>
      <c r="R18" s="296"/>
      <c r="T18" s="255"/>
      <c r="U18" s="256"/>
      <c r="V18" s="12"/>
      <c r="W18" s="12"/>
      <c r="X18" s="12"/>
    </row>
    <row r="19" spans="2:24">
      <c r="B19" s="93" t="s">
        <v>147</v>
      </c>
      <c r="C19" s="190"/>
      <c r="D19" s="196"/>
      <c r="E19" s="197"/>
      <c r="F19" s="258"/>
      <c r="G19" s="82"/>
      <c r="H19" s="83"/>
      <c r="I19" s="82"/>
      <c r="J19" s="83"/>
      <c r="K19" s="274">
        <v>0</v>
      </c>
      <c r="L19" s="275"/>
      <c r="M19" s="274"/>
      <c r="N19" s="275"/>
      <c r="O19" s="295"/>
      <c r="P19" s="296"/>
      <c r="Q19" s="295"/>
      <c r="R19" s="296"/>
      <c r="T19" s="255"/>
      <c r="U19" s="256"/>
      <c r="V19" s="12"/>
      <c r="W19" s="12"/>
      <c r="X19" s="12"/>
    </row>
    <row r="20" spans="2:24">
      <c r="B20" s="91" t="s">
        <v>20</v>
      </c>
      <c r="C20" s="218">
        <f t="shared" ref="C20:N20" si="9">C14-C17-C18</f>
        <v>-545</v>
      </c>
      <c r="D20" s="181">
        <f t="shared" si="9"/>
        <v>-4643</v>
      </c>
      <c r="E20" s="218">
        <f t="shared" si="9"/>
        <v>-4088</v>
      </c>
      <c r="F20" s="181">
        <f t="shared" si="9"/>
        <v>-59390</v>
      </c>
      <c r="G20" s="117">
        <f t="shared" si="9"/>
        <v>-2722</v>
      </c>
      <c r="H20" s="56">
        <f t="shared" si="9"/>
        <v>-4615</v>
      </c>
      <c r="I20" s="117">
        <f t="shared" si="9"/>
        <v>305</v>
      </c>
      <c r="J20" s="56">
        <f t="shared" si="9"/>
        <v>-26550</v>
      </c>
      <c r="K20" s="266">
        <f t="shared" si="9"/>
        <v>-1860</v>
      </c>
      <c r="L20" s="261">
        <f t="shared" si="9"/>
        <v>0</v>
      </c>
      <c r="M20" s="266">
        <f t="shared" si="9"/>
        <v>0</v>
      </c>
      <c r="N20" s="261">
        <f t="shared" si="9"/>
        <v>0</v>
      </c>
      <c r="O20" s="283">
        <f>O14-O17-O18+O19</f>
        <v>0</v>
      </c>
      <c r="P20" s="283">
        <f t="shared" ref="P20:R20" si="10">P14-P17-P18</f>
        <v>0</v>
      </c>
      <c r="Q20" s="288">
        <f t="shared" si="10"/>
        <v>0</v>
      </c>
      <c r="R20" s="283">
        <f t="shared" si="10"/>
        <v>0</v>
      </c>
      <c r="T20" s="255"/>
      <c r="U20" s="257"/>
      <c r="V20" s="257"/>
      <c r="W20" s="257"/>
      <c r="X20" s="12"/>
    </row>
    <row r="21" spans="2:24">
      <c r="B21" s="27" t="s">
        <v>21</v>
      </c>
      <c r="C21" s="219">
        <f t="shared" ref="C21:K21" si="11">C20/C5</f>
        <v>-1.7557424052060178E-2</v>
      </c>
      <c r="D21" s="219">
        <f t="shared" si="11"/>
        <v>-0.21956871275891421</v>
      </c>
      <c r="E21" s="219">
        <f t="shared" si="11"/>
        <v>-0.14709268854346574</v>
      </c>
      <c r="F21" s="219">
        <f t="shared" si="11"/>
        <v>-1.6703228709641129</v>
      </c>
      <c r="G21" s="29">
        <f t="shared" si="11"/>
        <v>-0.33784286955442472</v>
      </c>
      <c r="H21" s="29">
        <f t="shared" si="11"/>
        <v>-0.8285457809694794</v>
      </c>
      <c r="I21" s="29">
        <f t="shared" si="11"/>
        <v>3.0854830551340414E-2</v>
      </c>
      <c r="J21" s="29">
        <f t="shared" si="11"/>
        <v>-2.2919544198895028</v>
      </c>
      <c r="K21" s="267">
        <f t="shared" si="11"/>
        <v>-0.75425790754257904</v>
      </c>
      <c r="L21" s="267"/>
      <c r="M21" s="267"/>
      <c r="N21" s="267"/>
      <c r="O21" s="297">
        <f>IFERROR(O20/O5,0)</f>
        <v>0</v>
      </c>
      <c r="P21" s="297">
        <f t="shared" ref="P21:R21" si="12">IFERROR(P20/P5,0)</f>
        <v>0</v>
      </c>
      <c r="Q21" s="297">
        <f t="shared" si="12"/>
        <v>0</v>
      </c>
      <c r="R21" s="297">
        <f t="shared" si="12"/>
        <v>0</v>
      </c>
      <c r="T21" s="255"/>
      <c r="U21" s="256"/>
      <c r="W21" s="12"/>
    </row>
    <row r="22" spans="2:24" ht="15.45">
      <c r="B22" s="7"/>
      <c r="C22" s="251"/>
      <c r="D22" s="251"/>
      <c r="E22" s="251"/>
      <c r="F22" s="251"/>
      <c r="G22" s="4"/>
      <c r="H22" s="4"/>
      <c r="I22" s="4"/>
      <c r="J22" s="4"/>
      <c r="K22" s="4"/>
      <c r="L22" s="4"/>
      <c r="M22" s="4"/>
      <c r="N22" s="4"/>
      <c r="O22" s="298"/>
      <c r="P22" s="298"/>
      <c r="Q22" s="298"/>
      <c r="R22" s="298"/>
      <c r="T22" s="255"/>
      <c r="U22" s="256"/>
    </row>
    <row r="23" spans="2:24" s="350" customFormat="1" ht="15.45">
      <c r="B23" s="347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T23" s="349"/>
      <c r="U23" s="351"/>
    </row>
    <row r="24" spans="2:24" s="350" customFormat="1">
      <c r="B24" s="405" t="s">
        <v>22</v>
      </c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T24" s="349"/>
      <c r="U24" s="351"/>
    </row>
    <row r="25" spans="2:24" s="350" customFormat="1" ht="15.9" thickBot="1">
      <c r="B25" s="347"/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T25" s="349"/>
      <c r="U25" s="351"/>
    </row>
    <row r="26" spans="2:24" s="350" customFormat="1" ht="15" thickBot="1">
      <c r="B26" s="27" t="s">
        <v>1</v>
      </c>
      <c r="C26" s="406">
        <v>2019</v>
      </c>
      <c r="D26" s="407"/>
      <c r="E26" s="407"/>
      <c r="F26" s="408"/>
      <c r="G26" s="398">
        <v>2020</v>
      </c>
      <c r="H26" s="399"/>
      <c r="I26" s="399"/>
      <c r="J26" s="400"/>
      <c r="K26" s="409">
        <v>2021</v>
      </c>
      <c r="L26" s="410"/>
      <c r="M26" s="410"/>
      <c r="N26" s="411"/>
      <c r="O26" s="412">
        <v>2022</v>
      </c>
      <c r="P26" s="413"/>
      <c r="Q26" s="413"/>
      <c r="R26" s="413"/>
      <c r="T26" s="349"/>
      <c r="U26" s="351"/>
    </row>
    <row r="27" spans="2:24" s="350" customFormat="1">
      <c r="B27" s="353" t="s">
        <v>149</v>
      </c>
      <c r="C27" s="224" t="s">
        <v>2</v>
      </c>
      <c r="D27" s="224" t="s">
        <v>3</v>
      </c>
      <c r="E27" s="224" t="s">
        <v>4</v>
      </c>
      <c r="F27" s="366" t="s">
        <v>5</v>
      </c>
      <c r="G27" s="134" t="s">
        <v>2</v>
      </c>
      <c r="H27" s="134" t="s">
        <v>3</v>
      </c>
      <c r="I27" s="134" t="s">
        <v>4</v>
      </c>
      <c r="J27" s="135" t="s">
        <v>5</v>
      </c>
      <c r="K27" s="358" t="s">
        <v>2</v>
      </c>
      <c r="L27" s="358" t="s">
        <v>3</v>
      </c>
      <c r="M27" s="358" t="s">
        <v>4</v>
      </c>
      <c r="N27" s="360" t="s">
        <v>5</v>
      </c>
      <c r="O27" s="362" t="s">
        <v>2</v>
      </c>
      <c r="P27" s="362" t="s">
        <v>3</v>
      </c>
      <c r="Q27" s="362" t="s">
        <v>4</v>
      </c>
      <c r="R27" s="364" t="s">
        <v>5</v>
      </c>
      <c r="T27" s="349"/>
      <c r="U27" s="351"/>
    </row>
    <row r="28" spans="2:24" s="350" customFormat="1" ht="15.45">
      <c r="B28" s="354" t="s">
        <v>150</v>
      </c>
      <c r="C28" s="367"/>
      <c r="D28" s="367"/>
      <c r="E28" s="367"/>
      <c r="F28" s="368"/>
      <c r="G28" s="369"/>
      <c r="H28" s="369"/>
      <c r="I28" s="369"/>
      <c r="J28" s="370"/>
      <c r="K28" s="379"/>
      <c r="L28" s="359"/>
      <c r="M28" s="359"/>
      <c r="N28" s="361"/>
      <c r="O28" s="363"/>
      <c r="P28" s="363"/>
      <c r="Q28" s="363"/>
      <c r="R28" s="365"/>
      <c r="T28" s="349"/>
      <c r="U28" s="351"/>
    </row>
    <row r="29" spans="2:24" s="350" customFormat="1" ht="15.45">
      <c r="B29" s="355" t="s">
        <v>151</v>
      </c>
      <c r="C29" s="367"/>
      <c r="D29" s="367"/>
      <c r="E29" s="367"/>
      <c r="F29" s="368"/>
      <c r="G29" s="369"/>
      <c r="H29" s="369"/>
      <c r="I29" s="369"/>
      <c r="J29" s="370"/>
      <c r="K29" s="379"/>
      <c r="L29" s="359"/>
      <c r="M29" s="359"/>
      <c r="N29" s="361"/>
      <c r="O29" s="363"/>
      <c r="P29" s="363"/>
      <c r="Q29" s="363"/>
      <c r="R29" s="365"/>
      <c r="T29" s="349"/>
      <c r="U29" s="351"/>
    </row>
    <row r="30" spans="2:24" s="350" customFormat="1" ht="15.45">
      <c r="B30" s="356" t="s">
        <v>149</v>
      </c>
      <c r="C30" s="371"/>
      <c r="D30" s="371"/>
      <c r="E30" s="371"/>
      <c r="F30" s="372"/>
      <c r="G30" s="373"/>
      <c r="H30" s="373"/>
      <c r="I30" s="373"/>
      <c r="J30" s="374"/>
      <c r="K30" s="382">
        <v>0</v>
      </c>
      <c r="L30" s="375"/>
      <c r="M30" s="375"/>
      <c r="N30" s="376"/>
      <c r="O30" s="377"/>
      <c r="P30" s="377"/>
      <c r="Q30" s="377"/>
      <c r="R30" s="378"/>
      <c r="T30" s="349"/>
      <c r="U30" s="351"/>
    </row>
    <row r="31" spans="2:24" s="350" customFormat="1" ht="15.45">
      <c r="B31" s="357"/>
      <c r="C31" s="367"/>
      <c r="D31" s="367"/>
      <c r="E31" s="367"/>
      <c r="F31" s="368"/>
      <c r="G31" s="369"/>
      <c r="H31" s="369"/>
      <c r="I31" s="369"/>
      <c r="J31" s="370"/>
      <c r="K31" s="379"/>
      <c r="L31" s="359"/>
      <c r="M31" s="359"/>
      <c r="N31" s="361"/>
      <c r="O31" s="363"/>
      <c r="P31" s="363"/>
      <c r="Q31" s="363"/>
      <c r="R31" s="365"/>
      <c r="T31" s="349"/>
      <c r="U31" s="351"/>
    </row>
    <row r="32" spans="2:24" s="350" customFormat="1" ht="15.45">
      <c r="B32" s="355" t="s">
        <v>152</v>
      </c>
      <c r="C32" s="367"/>
      <c r="D32" s="367"/>
      <c r="E32" s="367"/>
      <c r="F32" s="368"/>
      <c r="G32" s="369"/>
      <c r="H32" s="369"/>
      <c r="I32" s="369"/>
      <c r="J32" s="370"/>
      <c r="K32" s="379"/>
      <c r="L32" s="359"/>
      <c r="M32" s="359"/>
      <c r="N32" s="361"/>
      <c r="O32" s="363"/>
      <c r="P32" s="363"/>
      <c r="Q32" s="363"/>
      <c r="R32" s="365"/>
      <c r="T32" s="349"/>
      <c r="U32" s="351"/>
    </row>
    <row r="33" spans="2:21" s="350" customFormat="1" ht="15.45">
      <c r="B33" s="355" t="s">
        <v>153</v>
      </c>
      <c r="C33" s="367"/>
      <c r="D33" s="367"/>
      <c r="E33" s="367"/>
      <c r="F33" s="368"/>
      <c r="G33" s="369"/>
      <c r="H33" s="369"/>
      <c r="I33" s="369"/>
      <c r="J33" s="370"/>
      <c r="K33" s="379">
        <v>2466</v>
      </c>
      <c r="L33" s="359"/>
      <c r="M33" s="359"/>
      <c r="N33" s="361"/>
      <c r="O33" s="363"/>
      <c r="P33" s="363"/>
      <c r="Q33" s="363"/>
      <c r="R33" s="365"/>
      <c r="T33" s="349"/>
      <c r="U33" s="351"/>
    </row>
    <row r="34" spans="2:21" s="350" customFormat="1" ht="15.45">
      <c r="B34" s="356" t="s">
        <v>154</v>
      </c>
      <c r="C34" s="371"/>
      <c r="D34" s="371"/>
      <c r="E34" s="371"/>
      <c r="F34" s="372"/>
      <c r="G34" s="373"/>
      <c r="H34" s="373"/>
      <c r="I34" s="373"/>
      <c r="J34" s="374"/>
      <c r="K34" s="382">
        <v>2466</v>
      </c>
      <c r="L34" s="375"/>
      <c r="M34" s="375"/>
      <c r="N34" s="376"/>
      <c r="O34" s="377"/>
      <c r="P34" s="377"/>
      <c r="Q34" s="377"/>
      <c r="R34" s="378"/>
      <c r="T34" s="349"/>
      <c r="U34" s="351"/>
    </row>
    <row r="35" spans="2:21" ht="33" customHeight="1">
      <c r="T35" s="126"/>
      <c r="U35" s="254"/>
    </row>
    <row r="37" spans="2:21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2:21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2:21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2" spans="2:21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2:21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7" spans="2:21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52" spans="3:18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3:18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3:18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</sheetData>
  <mergeCells count="9">
    <mergeCell ref="C26:F26"/>
    <mergeCell ref="G26:J26"/>
    <mergeCell ref="K26:N26"/>
    <mergeCell ref="O26:R26"/>
    <mergeCell ref="C3:F3"/>
    <mergeCell ref="G3:J3"/>
    <mergeCell ref="B24:R24"/>
    <mergeCell ref="K3:N3"/>
    <mergeCell ref="O3:R3"/>
  </mergeCells>
  <pageMargins left="0.7" right="0.7" top="0.75" bottom="0.75" header="0.3" footer="0.3"/>
  <pageSetup paperSize="9" scale="57" orientation="landscape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.07421875" defaultRowHeight="14.6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DAD5-AD97-40BA-BA12-B77CB6B169F8}">
  <dimension ref="B1:Y42"/>
  <sheetViews>
    <sheetView view="pageBreakPreview" topLeftCell="D1" zoomScaleNormal="100" zoomScaleSheetLayoutView="100" workbookViewId="0">
      <selection activeCell="P35" sqref="P35"/>
    </sheetView>
  </sheetViews>
  <sheetFormatPr defaultColWidth="9.07421875" defaultRowHeight="14.6"/>
  <cols>
    <col min="1" max="1" width="2.4609375" customWidth="1"/>
    <col min="2" max="2" width="43.3046875" customWidth="1"/>
    <col min="3" max="18" width="10.69140625" customWidth="1"/>
    <col min="19" max="19" width="7.421875E-2" customWidth="1"/>
    <col min="22" max="22" width="11.07421875" bestFit="1" customWidth="1"/>
  </cols>
  <sheetData>
    <row r="1" spans="2:25" ht="15" thickBot="1"/>
    <row r="2" spans="2:25" ht="15.9" thickBot="1">
      <c r="B2" s="1" t="s">
        <v>138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0"/>
      <c r="U2" s="255"/>
    </row>
    <row r="3" spans="2:25" ht="15" thickBot="1">
      <c r="B3" s="88"/>
      <c r="C3" s="406">
        <v>2019</v>
      </c>
      <c r="D3" s="407"/>
      <c r="E3" s="407"/>
      <c r="F3" s="408"/>
      <c r="G3" s="398">
        <v>2020</v>
      </c>
      <c r="H3" s="399"/>
      <c r="I3" s="399"/>
      <c r="J3" s="400"/>
      <c r="K3" s="409">
        <v>2021</v>
      </c>
      <c r="L3" s="410"/>
      <c r="M3" s="410"/>
      <c r="N3" s="411"/>
      <c r="O3" s="412">
        <v>2022</v>
      </c>
      <c r="P3" s="413"/>
      <c r="Q3" s="413"/>
      <c r="R3" s="413"/>
      <c r="S3" s="10"/>
      <c r="U3" s="255"/>
    </row>
    <row r="4" spans="2:25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10"/>
      <c r="U4" s="255"/>
      <c r="V4" s="256"/>
    </row>
    <row r="5" spans="2:25">
      <c r="B5" s="91" t="s">
        <v>9</v>
      </c>
      <c r="C5" s="181"/>
      <c r="D5" s="181"/>
      <c r="E5" s="181"/>
      <c r="F5" s="181"/>
      <c r="G5" s="56"/>
      <c r="H5" s="56"/>
      <c r="I5" s="56"/>
      <c r="J5" s="56"/>
      <c r="K5" s="261"/>
      <c r="L5" s="261"/>
      <c r="M5" s="261"/>
      <c r="N5" s="261"/>
      <c r="O5" s="283"/>
      <c r="P5" s="283"/>
      <c r="Q5" s="283"/>
      <c r="R5" s="283"/>
      <c r="S5" s="10"/>
      <c r="U5" s="255"/>
      <c r="V5" s="256"/>
      <c r="W5" s="256"/>
      <c r="X5" s="12"/>
      <c r="Y5" s="12"/>
    </row>
    <row r="6" spans="2:25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284"/>
      <c r="R6" s="285"/>
      <c r="S6" s="10"/>
      <c r="U6" s="255"/>
      <c r="V6" s="256"/>
      <c r="W6" s="12"/>
      <c r="X6" s="12"/>
    </row>
    <row r="7" spans="2:25">
      <c r="B7" s="27" t="s">
        <v>10</v>
      </c>
      <c r="C7" s="191"/>
      <c r="D7" s="180"/>
      <c r="E7" s="191"/>
      <c r="F7" s="180"/>
      <c r="G7" s="78"/>
      <c r="H7" s="48"/>
      <c r="I7" s="78"/>
      <c r="J7" s="48"/>
      <c r="K7" s="264"/>
      <c r="L7" s="265"/>
      <c r="M7" s="264"/>
      <c r="N7" s="265"/>
      <c r="O7" s="286"/>
      <c r="P7" s="287"/>
      <c r="Q7" s="286"/>
      <c r="R7" s="287"/>
      <c r="S7" s="10"/>
      <c r="U7" s="255"/>
      <c r="V7" s="256"/>
      <c r="W7" s="12"/>
      <c r="X7" s="12"/>
      <c r="Y7" s="12"/>
    </row>
    <row r="8" spans="2:25">
      <c r="B8" s="27" t="s">
        <v>113</v>
      </c>
      <c r="C8" s="191"/>
      <c r="D8" s="180"/>
      <c r="E8" s="191"/>
      <c r="F8" s="180"/>
      <c r="G8" s="78"/>
      <c r="H8" s="48"/>
      <c r="I8" s="78"/>
      <c r="J8" s="48"/>
      <c r="K8" s="264"/>
      <c r="L8" s="265"/>
      <c r="M8" s="264"/>
      <c r="N8" s="265"/>
      <c r="O8" s="286"/>
      <c r="P8" s="287"/>
      <c r="Q8" s="286"/>
      <c r="R8" s="287"/>
      <c r="S8" s="10"/>
      <c r="U8" s="255"/>
      <c r="V8" s="256"/>
      <c r="W8" s="12"/>
      <c r="X8" s="12"/>
      <c r="Y8" s="12"/>
    </row>
    <row r="9" spans="2:25">
      <c r="B9" s="89" t="s">
        <v>12</v>
      </c>
      <c r="C9" s="218">
        <f t="shared" ref="C9:R9" si="0">C5-C7-C8</f>
        <v>0</v>
      </c>
      <c r="D9" s="181">
        <f t="shared" si="0"/>
        <v>0</v>
      </c>
      <c r="E9" s="218">
        <f t="shared" si="0"/>
        <v>0</v>
      </c>
      <c r="F9" s="181">
        <f t="shared" si="0"/>
        <v>0</v>
      </c>
      <c r="G9" s="117">
        <f t="shared" si="0"/>
        <v>0</v>
      </c>
      <c r="H9" s="56">
        <f t="shared" si="0"/>
        <v>0</v>
      </c>
      <c r="I9" s="117">
        <f t="shared" si="0"/>
        <v>0</v>
      </c>
      <c r="J9" s="56">
        <f t="shared" si="0"/>
        <v>0</v>
      </c>
      <c r="K9" s="266">
        <f t="shared" si="0"/>
        <v>0</v>
      </c>
      <c r="L9" s="261">
        <f t="shared" si="0"/>
        <v>0</v>
      </c>
      <c r="M9" s="266">
        <f t="shared" si="0"/>
        <v>0</v>
      </c>
      <c r="N9" s="261">
        <f t="shared" si="0"/>
        <v>0</v>
      </c>
      <c r="O9" s="288">
        <f t="shared" si="0"/>
        <v>0</v>
      </c>
      <c r="P9" s="283">
        <f t="shared" si="0"/>
        <v>0</v>
      </c>
      <c r="Q9" s="288">
        <f t="shared" si="0"/>
        <v>0</v>
      </c>
      <c r="R9" s="283">
        <f t="shared" si="0"/>
        <v>0</v>
      </c>
      <c r="S9" s="10"/>
      <c r="U9" s="255"/>
      <c r="V9" s="256"/>
      <c r="W9" s="256"/>
      <c r="X9" s="257"/>
      <c r="Y9" s="12"/>
    </row>
    <row r="10" spans="2:25">
      <c r="B10" s="27" t="s">
        <v>13</v>
      </c>
      <c r="C10" s="219">
        <f>IFERROR(C9/C5,0)</f>
        <v>0</v>
      </c>
      <c r="D10" s="219">
        <f t="shared" ref="D10:F10" si="1">IFERROR(D9/D5,0)</f>
        <v>0</v>
      </c>
      <c r="E10" s="219">
        <f t="shared" si="1"/>
        <v>0</v>
      </c>
      <c r="F10" s="219">
        <f t="shared" si="1"/>
        <v>0</v>
      </c>
      <c r="G10" s="29">
        <f t="shared" ref="G10" si="2">IFERROR(G9/G5,0)</f>
        <v>0</v>
      </c>
      <c r="H10" s="30">
        <f t="shared" ref="H10" si="3">IFERROR(H9/H5,0)</f>
        <v>0</v>
      </c>
      <c r="I10" s="29">
        <f t="shared" ref="I10" si="4">IFERROR(I9/I5,0)</f>
        <v>0</v>
      </c>
      <c r="J10" s="30">
        <f t="shared" ref="J10" si="5">IFERROR(J9/J5,0)</f>
        <v>0</v>
      </c>
      <c r="K10" s="267">
        <f t="shared" ref="K10" si="6">IFERROR(K9/K5,0)</f>
        <v>0</v>
      </c>
      <c r="L10" s="268">
        <f t="shared" ref="L10" si="7">IFERROR(L9/L5,0)</f>
        <v>0</v>
      </c>
      <c r="M10" s="267">
        <f t="shared" ref="M10" si="8">IFERROR(M9/M5,0)</f>
        <v>0</v>
      </c>
      <c r="N10" s="268">
        <f t="shared" ref="N10" si="9">IFERROR(N9/N5,0)</f>
        <v>0</v>
      </c>
      <c r="O10" s="289">
        <f t="shared" ref="O10" si="10">IFERROR(O9/O5,0)</f>
        <v>0</v>
      </c>
      <c r="P10" s="289">
        <f t="shared" ref="P10" si="11">IFERROR(P9/P5,0)</f>
        <v>0</v>
      </c>
      <c r="Q10" s="289">
        <f t="shared" ref="Q10" si="12">IFERROR(Q9/Q5,0)</f>
        <v>0</v>
      </c>
      <c r="R10" s="289">
        <f t="shared" ref="R10" si="13">IFERROR(R9/R5,0)</f>
        <v>0</v>
      </c>
      <c r="S10" s="10"/>
      <c r="U10" s="255"/>
      <c r="V10" s="256"/>
      <c r="W10" s="12"/>
      <c r="X10" s="12"/>
      <c r="Y10" s="12"/>
    </row>
    <row r="11" spans="2:25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290"/>
      <c r="R11" s="291"/>
      <c r="S11" s="10"/>
      <c r="U11" s="255"/>
      <c r="V11" s="256"/>
      <c r="W11" s="12"/>
      <c r="X11" s="12"/>
      <c r="Y11" s="12"/>
    </row>
    <row r="12" spans="2:25">
      <c r="B12" s="27" t="s">
        <v>14</v>
      </c>
      <c r="C12" s="191">
        <v>9102</v>
      </c>
      <c r="D12" s="180">
        <v>7396</v>
      </c>
      <c r="E12" s="191">
        <v>8012</v>
      </c>
      <c r="F12" s="180">
        <v>3271</v>
      </c>
      <c r="G12" s="78">
        <v>9517</v>
      </c>
      <c r="H12" s="48">
        <v>7640</v>
      </c>
      <c r="I12" s="78">
        <v>6570</v>
      </c>
      <c r="J12" s="48">
        <v>5205</v>
      </c>
      <c r="K12" s="264">
        <v>9111</v>
      </c>
      <c r="L12" s="265">
        <v>9782</v>
      </c>
      <c r="M12" s="264">
        <v>4458</v>
      </c>
      <c r="N12" s="265">
        <v>5256</v>
      </c>
      <c r="O12" s="286">
        <v>10069</v>
      </c>
      <c r="P12" s="287">
        <v>6578</v>
      </c>
      <c r="Q12" s="286">
        <v>10544.167350000002</v>
      </c>
      <c r="R12" s="287">
        <v>10156.8344368</v>
      </c>
      <c r="S12" s="10"/>
      <c r="T12" s="12"/>
      <c r="U12" s="255"/>
      <c r="V12" s="256"/>
      <c r="W12" s="12"/>
      <c r="X12" s="12"/>
      <c r="Y12" s="12"/>
    </row>
    <row r="13" spans="2:25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284"/>
      <c r="R13" s="292"/>
      <c r="S13" s="10"/>
      <c r="U13" s="255"/>
      <c r="V13" s="256"/>
      <c r="W13" s="12"/>
      <c r="X13" s="12"/>
      <c r="Y13" s="12"/>
    </row>
    <row r="14" spans="2:25">
      <c r="B14" s="91" t="s">
        <v>15</v>
      </c>
      <c r="C14" s="218">
        <f t="shared" ref="C14:E14" si="14">C9-C12</f>
        <v>-9102</v>
      </c>
      <c r="D14" s="181">
        <f t="shared" si="14"/>
        <v>-7396</v>
      </c>
      <c r="E14" s="218">
        <f t="shared" si="14"/>
        <v>-8012</v>
      </c>
      <c r="F14" s="181">
        <f>F9-F12</f>
        <v>-3271</v>
      </c>
      <c r="G14" s="117">
        <f t="shared" ref="G14:I14" si="15">G9-G12</f>
        <v>-9517</v>
      </c>
      <c r="H14" s="56">
        <f t="shared" si="15"/>
        <v>-7640</v>
      </c>
      <c r="I14" s="117">
        <f t="shared" si="15"/>
        <v>-6570</v>
      </c>
      <c r="J14" s="56">
        <f>J9-J12</f>
        <v>-5205</v>
      </c>
      <c r="K14" s="266">
        <f t="shared" ref="K14:M14" si="16">K9-K12</f>
        <v>-9111</v>
      </c>
      <c r="L14" s="261">
        <f t="shared" si="16"/>
        <v>-9782</v>
      </c>
      <c r="M14" s="266">
        <f t="shared" si="16"/>
        <v>-4458</v>
      </c>
      <c r="N14" s="261">
        <f>N9-N12</f>
        <v>-5256</v>
      </c>
      <c r="O14" s="288">
        <f t="shared" ref="O14:Q14" si="17">O9-O12</f>
        <v>-10069</v>
      </c>
      <c r="P14" s="283">
        <f t="shared" si="17"/>
        <v>-6578</v>
      </c>
      <c r="Q14" s="288">
        <f t="shared" si="17"/>
        <v>-10544.167350000002</v>
      </c>
      <c r="R14" s="283">
        <f>R9-R12</f>
        <v>-10156.8344368</v>
      </c>
      <c r="S14" s="10"/>
      <c r="U14" s="255"/>
      <c r="V14" s="257"/>
      <c r="W14" s="257"/>
      <c r="X14" s="257"/>
      <c r="Y14" s="12"/>
    </row>
    <row r="15" spans="2:25">
      <c r="B15" s="27" t="s">
        <v>16</v>
      </c>
      <c r="C15" s="219">
        <f>IFERROR(C14/C5,0)</f>
        <v>0</v>
      </c>
      <c r="D15" s="208">
        <f t="shared" ref="D15:R15" si="18">IFERROR(D14/D5,0)</f>
        <v>0</v>
      </c>
      <c r="E15" s="260">
        <f t="shared" si="18"/>
        <v>0</v>
      </c>
      <c r="F15" s="259">
        <f t="shared" si="18"/>
        <v>0</v>
      </c>
      <c r="G15" s="29">
        <f t="shared" si="18"/>
        <v>0</v>
      </c>
      <c r="H15" s="30">
        <f t="shared" si="18"/>
        <v>0</v>
      </c>
      <c r="I15" s="29">
        <f t="shared" si="18"/>
        <v>0</v>
      </c>
      <c r="J15" s="30">
        <f t="shared" si="18"/>
        <v>0</v>
      </c>
      <c r="K15" s="267">
        <f t="shared" si="18"/>
        <v>0</v>
      </c>
      <c r="L15" s="268">
        <f t="shared" si="18"/>
        <v>0</v>
      </c>
      <c r="M15" s="267">
        <f t="shared" si="18"/>
        <v>0</v>
      </c>
      <c r="N15" s="268">
        <f t="shared" si="18"/>
        <v>0</v>
      </c>
      <c r="O15" s="297">
        <f t="shared" si="18"/>
        <v>0</v>
      </c>
      <c r="P15" s="300">
        <f t="shared" si="18"/>
        <v>0</v>
      </c>
      <c r="Q15" s="297">
        <f t="shared" si="18"/>
        <v>0</v>
      </c>
      <c r="R15" s="300">
        <f t="shared" si="18"/>
        <v>0</v>
      </c>
      <c r="S15" s="10"/>
      <c r="U15" s="255"/>
      <c r="V15" s="256"/>
      <c r="W15" s="12"/>
      <c r="X15" s="12"/>
      <c r="Y15" s="12"/>
    </row>
    <row r="16" spans="2:25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293"/>
      <c r="R16" s="294"/>
      <c r="S16" s="10"/>
      <c r="U16" s="255"/>
      <c r="V16" s="256"/>
      <c r="W16" s="12"/>
      <c r="X16" s="12"/>
      <c r="Y16" s="12"/>
    </row>
    <row r="17" spans="2:25">
      <c r="B17" s="27" t="s">
        <v>28</v>
      </c>
      <c r="C17" s="190"/>
      <c r="D17" s="196"/>
      <c r="E17" s="196"/>
      <c r="F17" s="196"/>
      <c r="G17" s="82"/>
      <c r="H17" s="83"/>
      <c r="I17" s="82"/>
      <c r="J17" s="83"/>
      <c r="K17" s="274"/>
      <c r="L17" s="275"/>
      <c r="M17" s="274"/>
      <c r="N17" s="275"/>
      <c r="O17" s="295"/>
      <c r="P17" s="296"/>
      <c r="Q17" s="295"/>
      <c r="R17" s="296"/>
      <c r="S17" s="10"/>
      <c r="U17" s="255"/>
      <c r="V17" s="256"/>
      <c r="W17" s="12"/>
      <c r="X17" s="12"/>
      <c r="Y17" s="12"/>
    </row>
    <row r="18" spans="2:25">
      <c r="B18" s="27" t="s">
        <v>19</v>
      </c>
      <c r="C18" s="190"/>
      <c r="D18" s="196"/>
      <c r="E18" s="196"/>
      <c r="F18" s="196"/>
      <c r="G18" s="82"/>
      <c r="H18" s="83"/>
      <c r="I18" s="83"/>
      <c r="J18" s="83"/>
      <c r="K18" s="274"/>
      <c r="L18" s="275"/>
      <c r="M18" s="275"/>
      <c r="N18" s="275"/>
      <c r="O18" s="295"/>
      <c r="P18" s="296"/>
      <c r="Q18" s="296"/>
      <c r="R18" s="296"/>
      <c r="S18" s="10"/>
      <c r="U18" s="255"/>
      <c r="V18" s="256"/>
      <c r="W18" s="12"/>
      <c r="X18" s="12"/>
      <c r="Y18" s="12"/>
    </row>
    <row r="19" spans="2:25">
      <c r="B19" s="93" t="s">
        <v>147</v>
      </c>
      <c r="C19" s="190"/>
      <c r="D19" s="196"/>
      <c r="E19" s="197"/>
      <c r="F19" s="258"/>
      <c r="G19" s="82"/>
      <c r="H19" s="83"/>
      <c r="I19" s="82"/>
      <c r="J19" s="83"/>
      <c r="K19" s="274">
        <v>252</v>
      </c>
      <c r="L19" s="275"/>
      <c r="M19" s="274">
        <v>2200</v>
      </c>
      <c r="N19" s="275"/>
      <c r="O19" s="295"/>
      <c r="P19" s="296"/>
      <c r="Q19" s="295"/>
      <c r="R19" s="296"/>
      <c r="S19" s="10"/>
      <c r="U19" s="255"/>
      <c r="V19" s="256"/>
      <c r="W19" s="12"/>
      <c r="X19" s="12"/>
      <c r="Y19" s="12"/>
    </row>
    <row r="20" spans="2:25">
      <c r="B20" s="91" t="s">
        <v>20</v>
      </c>
      <c r="C20" s="218">
        <f t="shared" ref="C20:N20" si="19">C14-C17-C18</f>
        <v>-9102</v>
      </c>
      <c r="D20" s="181">
        <f t="shared" si="19"/>
        <v>-7396</v>
      </c>
      <c r="E20" s="218">
        <f t="shared" si="19"/>
        <v>-8012</v>
      </c>
      <c r="F20" s="181">
        <f t="shared" si="19"/>
        <v>-3271</v>
      </c>
      <c r="G20" s="117">
        <f t="shared" si="19"/>
        <v>-9517</v>
      </c>
      <c r="H20" s="56">
        <f t="shared" si="19"/>
        <v>-7640</v>
      </c>
      <c r="I20" s="117">
        <f t="shared" si="19"/>
        <v>-6570</v>
      </c>
      <c r="J20" s="56">
        <f t="shared" si="19"/>
        <v>-5205</v>
      </c>
      <c r="K20" s="266">
        <f>K14-K17-K18+K19</f>
        <v>-8859</v>
      </c>
      <c r="L20" s="261">
        <f t="shared" si="19"/>
        <v>-9782</v>
      </c>
      <c r="M20" s="266">
        <f>M14-M17-M18+M19</f>
        <v>-2258</v>
      </c>
      <c r="N20" s="261">
        <f t="shared" si="19"/>
        <v>-5256</v>
      </c>
      <c r="O20" s="283">
        <f>O14-O17-O18+O19</f>
        <v>-10069</v>
      </c>
      <c r="P20" s="283">
        <f t="shared" ref="P20:R20" si="20">P14-P17-P18</f>
        <v>-6578</v>
      </c>
      <c r="Q20" s="288">
        <f t="shared" si="20"/>
        <v>-10544.167350000002</v>
      </c>
      <c r="R20" s="283">
        <f t="shared" si="20"/>
        <v>-10156.8344368</v>
      </c>
      <c r="S20" s="10"/>
      <c r="U20" s="255"/>
      <c r="V20" s="257"/>
      <c r="W20" s="257"/>
      <c r="X20" s="257"/>
      <c r="Y20" s="12"/>
    </row>
    <row r="21" spans="2:25">
      <c r="B21" s="27" t="s">
        <v>21</v>
      </c>
      <c r="C21" s="219">
        <f>IFERROR(C20/C5,0)</f>
        <v>0</v>
      </c>
      <c r="D21" s="219">
        <f t="shared" ref="D21:R21" si="21">IFERROR(D20/D5,0)</f>
        <v>0</v>
      </c>
      <c r="E21" s="219">
        <f t="shared" si="21"/>
        <v>0</v>
      </c>
      <c r="F21" s="219">
        <f t="shared" si="21"/>
        <v>0</v>
      </c>
      <c r="G21" s="29">
        <f t="shared" si="21"/>
        <v>0</v>
      </c>
      <c r="H21" s="29">
        <f t="shared" si="21"/>
        <v>0</v>
      </c>
      <c r="I21" s="29">
        <f t="shared" si="21"/>
        <v>0</v>
      </c>
      <c r="J21" s="29">
        <f t="shared" si="21"/>
        <v>0</v>
      </c>
      <c r="K21" s="267">
        <f t="shared" si="21"/>
        <v>0</v>
      </c>
      <c r="L21" s="267">
        <f t="shared" si="21"/>
        <v>0</v>
      </c>
      <c r="M21" s="267">
        <f t="shared" si="21"/>
        <v>0</v>
      </c>
      <c r="N21" s="267">
        <f t="shared" si="21"/>
        <v>0</v>
      </c>
      <c r="O21" s="297">
        <f t="shared" si="21"/>
        <v>0</v>
      </c>
      <c r="P21" s="297">
        <f t="shared" si="21"/>
        <v>0</v>
      </c>
      <c r="Q21" s="297">
        <f t="shared" si="21"/>
        <v>0</v>
      </c>
      <c r="R21" s="297">
        <f t="shared" si="21"/>
        <v>0</v>
      </c>
      <c r="S21" s="10"/>
      <c r="U21" s="255"/>
      <c r="V21" s="256"/>
      <c r="X21" s="12"/>
    </row>
    <row r="22" spans="2:25" ht="15.45">
      <c r="B22" s="7"/>
      <c r="C22" s="251"/>
      <c r="D22" s="251"/>
      <c r="E22" s="251"/>
      <c r="F22" s="251"/>
      <c r="G22" s="4"/>
      <c r="H22" s="4"/>
      <c r="I22" s="4"/>
      <c r="J22" s="4"/>
      <c r="K22" s="4"/>
      <c r="L22" s="4"/>
      <c r="M22" s="4"/>
      <c r="N22" s="4"/>
      <c r="O22" s="298"/>
      <c r="P22" s="298"/>
      <c r="Q22" s="298"/>
      <c r="R22" s="298"/>
      <c r="S22" s="10"/>
      <c r="U22" s="255"/>
      <c r="V22" s="256"/>
    </row>
    <row r="23" spans="2:25" ht="33" customHeight="1">
      <c r="B23" s="405" t="s">
        <v>22</v>
      </c>
      <c r="C23" s="405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/>
      <c r="R23" s="405"/>
      <c r="S23" s="405"/>
      <c r="U23" s="126"/>
      <c r="V23" s="254"/>
    </row>
    <row r="25" spans="2: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2:2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2:2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30" spans="2: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2: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5" spans="3:18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40" spans="3:18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3:18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3:18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</sheetData>
  <mergeCells count="5">
    <mergeCell ref="C3:F3"/>
    <mergeCell ref="G3:J3"/>
    <mergeCell ref="B23:S23"/>
    <mergeCell ref="K3:N3"/>
    <mergeCell ref="O3:R3"/>
  </mergeCells>
  <pageMargins left="0.7" right="0.7" top="0.75" bottom="0.75" header="0.3" footer="0.3"/>
  <pageSetup paperSize="9" scale="57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43"/>
  <sheetViews>
    <sheetView view="pageBreakPreview" zoomScaleNormal="100" zoomScaleSheetLayoutView="100" workbookViewId="0">
      <selection activeCell="AA36" sqref="AA36"/>
    </sheetView>
  </sheetViews>
  <sheetFormatPr defaultColWidth="9.07421875" defaultRowHeight="14.6"/>
  <cols>
    <col min="1" max="1" width="2.4609375" customWidth="1"/>
    <col min="2" max="2" width="42.4609375" customWidth="1"/>
    <col min="3" max="18" width="10.53515625" customWidth="1"/>
    <col min="19" max="19" width="3" customWidth="1"/>
  </cols>
  <sheetData>
    <row r="1" spans="2:29" ht="15" thickBot="1"/>
    <row r="2" spans="2:29" ht="15.9" thickBot="1">
      <c r="B2" s="1" t="s">
        <v>24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4"/>
    </row>
    <row r="3" spans="2:29" ht="15" thickBot="1">
      <c r="B3" s="37" t="s">
        <v>23</v>
      </c>
      <c r="C3" s="406">
        <v>2019</v>
      </c>
      <c r="D3" s="407"/>
      <c r="E3" s="407"/>
      <c r="F3" s="408"/>
      <c r="G3" s="398">
        <v>2020</v>
      </c>
      <c r="H3" s="399"/>
      <c r="I3" s="399"/>
      <c r="J3" s="400"/>
      <c r="K3" s="409">
        <v>2021</v>
      </c>
      <c r="L3" s="410"/>
      <c r="M3" s="410"/>
      <c r="N3" s="411"/>
      <c r="O3" s="412">
        <v>2022</v>
      </c>
      <c r="P3" s="413"/>
      <c r="Q3" s="413"/>
      <c r="R3" s="413"/>
      <c r="S3" s="14"/>
    </row>
    <row r="4" spans="2:29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14"/>
    </row>
    <row r="5" spans="2:29">
      <c r="B5" s="42" t="s">
        <v>109</v>
      </c>
      <c r="C5" s="179">
        <v>223259</v>
      </c>
      <c r="D5" s="179">
        <v>250705</v>
      </c>
      <c r="E5" s="179">
        <v>242630</v>
      </c>
      <c r="F5" s="179">
        <v>245723</v>
      </c>
      <c r="G5" s="44">
        <v>201530</v>
      </c>
      <c r="H5" s="44">
        <v>222709</v>
      </c>
      <c r="I5" s="44">
        <v>210377</v>
      </c>
      <c r="J5" s="44">
        <v>254689</v>
      </c>
      <c r="K5" s="271">
        <v>191485</v>
      </c>
      <c r="L5" s="271">
        <v>252633</v>
      </c>
      <c r="M5" s="271">
        <v>203881.65489160246</v>
      </c>
      <c r="N5" s="271">
        <v>212018</v>
      </c>
      <c r="O5" s="292">
        <v>215517.73118520604</v>
      </c>
      <c r="P5" s="292">
        <v>213518.3234847874</v>
      </c>
      <c r="Q5" s="292">
        <v>215284.04914262926</v>
      </c>
      <c r="R5" s="292">
        <v>304648.04659279576</v>
      </c>
      <c r="S5" s="14"/>
      <c r="U5" s="12"/>
      <c r="V5" s="12"/>
      <c r="W5" s="12"/>
      <c r="X5" s="12"/>
      <c r="Y5" s="12"/>
      <c r="Z5" s="12"/>
      <c r="AA5" s="12"/>
      <c r="AB5" s="12"/>
      <c r="AC5" s="12"/>
    </row>
    <row r="6" spans="2:29">
      <c r="B6" s="46"/>
      <c r="C6" s="180"/>
      <c r="D6" s="180"/>
      <c r="E6" s="180"/>
      <c r="F6" s="180"/>
      <c r="G6" s="48"/>
      <c r="H6" s="48"/>
      <c r="I6" s="48"/>
      <c r="J6" s="48"/>
      <c r="K6" s="265"/>
      <c r="L6" s="265"/>
      <c r="M6" s="265"/>
      <c r="N6" s="265"/>
      <c r="O6" s="287"/>
      <c r="P6" s="287"/>
      <c r="Q6" s="287"/>
      <c r="R6" s="287"/>
      <c r="S6" s="14"/>
    </row>
    <row r="7" spans="2:29">
      <c r="B7" s="46" t="s">
        <v>25</v>
      </c>
      <c r="C7" s="180">
        <v>73124</v>
      </c>
      <c r="D7" s="180">
        <v>88753</v>
      </c>
      <c r="E7" s="180">
        <v>72868</v>
      </c>
      <c r="F7" s="180">
        <v>69811</v>
      </c>
      <c r="G7" s="48">
        <v>50147</v>
      </c>
      <c r="H7" s="48">
        <v>64604</v>
      </c>
      <c r="I7" s="48">
        <v>56165</v>
      </c>
      <c r="J7" s="48">
        <v>65693</v>
      </c>
      <c r="K7" s="265">
        <v>43399</v>
      </c>
      <c r="L7" s="265">
        <v>66073</v>
      </c>
      <c r="M7" s="265">
        <v>51977.518536954791</v>
      </c>
      <c r="N7" s="265">
        <v>66690</v>
      </c>
      <c r="O7" s="287">
        <v>65818.286478991606</v>
      </c>
      <c r="P7" s="287">
        <v>44807.01819648176</v>
      </c>
      <c r="Q7" s="287">
        <v>57641.874765701803</v>
      </c>
      <c r="R7" s="287">
        <v>122884.7289383164</v>
      </c>
      <c r="S7" s="14"/>
      <c r="U7" s="12"/>
      <c r="V7" s="12"/>
      <c r="W7" s="12"/>
      <c r="X7" s="12"/>
      <c r="Y7" s="12"/>
      <c r="Z7" s="12"/>
      <c r="AA7" s="12"/>
      <c r="AB7" s="12"/>
      <c r="AC7" s="12"/>
    </row>
    <row r="8" spans="2:29">
      <c r="B8" s="46" t="s">
        <v>110</v>
      </c>
      <c r="C8" s="180">
        <v>23857</v>
      </c>
      <c r="D8" s="180">
        <v>24694</v>
      </c>
      <c r="E8" s="180">
        <v>28170</v>
      </c>
      <c r="F8" s="180">
        <v>41651</v>
      </c>
      <c r="G8" s="48">
        <v>24154</v>
      </c>
      <c r="H8" s="48">
        <v>21456</v>
      </c>
      <c r="I8" s="48">
        <v>19160</v>
      </c>
      <c r="J8" s="48">
        <v>42781</v>
      </c>
      <c r="K8" s="265">
        <v>17175</v>
      </c>
      <c r="L8" s="265">
        <v>34919</v>
      </c>
      <c r="M8" s="265">
        <v>13060.826729735591</v>
      </c>
      <c r="N8" s="265">
        <v>16636</v>
      </c>
      <c r="O8" s="287">
        <v>14218.818961865099</v>
      </c>
      <c r="P8" s="287">
        <v>22080.406489981204</v>
      </c>
      <c r="Q8" s="287">
        <v>13112.713608213604</v>
      </c>
      <c r="R8" s="287">
        <v>16310.197793209702</v>
      </c>
      <c r="S8" s="14"/>
      <c r="U8" s="12"/>
      <c r="V8" s="12"/>
      <c r="W8" s="12"/>
      <c r="X8" s="12"/>
      <c r="Y8" s="12"/>
      <c r="Z8" s="12"/>
      <c r="AA8" s="12"/>
      <c r="AB8" s="12"/>
      <c r="AC8" s="12"/>
    </row>
    <row r="9" spans="2:29">
      <c r="B9" s="46" t="s">
        <v>111</v>
      </c>
      <c r="C9" s="180">
        <v>82816</v>
      </c>
      <c r="D9" s="180">
        <v>80208</v>
      </c>
      <c r="E9" s="180">
        <v>80385</v>
      </c>
      <c r="F9" s="180">
        <v>85379</v>
      </c>
      <c r="G9" s="48">
        <v>96728</v>
      </c>
      <c r="H9" s="48">
        <v>76689</v>
      </c>
      <c r="I9" s="48">
        <v>75229</v>
      </c>
      <c r="J9" s="48">
        <v>82692</v>
      </c>
      <c r="K9" s="265">
        <v>86652</v>
      </c>
      <c r="L9" s="265">
        <v>82653</v>
      </c>
      <c r="M9" s="265">
        <v>79674.985759225485</v>
      </c>
      <c r="N9" s="265">
        <v>71591</v>
      </c>
      <c r="O9" s="287">
        <v>82060.960942170394</v>
      </c>
      <c r="P9" s="287">
        <v>78012.590082594266</v>
      </c>
      <c r="Q9" s="287">
        <v>89164.591837089494</v>
      </c>
      <c r="R9" s="287">
        <v>94571.108552434322</v>
      </c>
      <c r="S9" s="14"/>
    </row>
    <row r="10" spans="2:29">
      <c r="B10" s="50" t="s">
        <v>26</v>
      </c>
      <c r="C10" s="204">
        <v>34956</v>
      </c>
      <c r="D10" s="204">
        <v>34327</v>
      </c>
      <c r="E10" s="204">
        <v>30313</v>
      </c>
      <c r="F10" s="204">
        <v>38362</v>
      </c>
      <c r="G10" s="52">
        <v>38371</v>
      </c>
      <c r="H10" s="52">
        <v>33840</v>
      </c>
      <c r="I10" s="52">
        <v>27639</v>
      </c>
      <c r="J10" s="52">
        <v>38180</v>
      </c>
      <c r="K10" s="311">
        <v>30930</v>
      </c>
      <c r="L10" s="311">
        <v>34447</v>
      </c>
      <c r="M10" s="311">
        <v>28478.359424562826</v>
      </c>
      <c r="N10" s="311">
        <v>30066</v>
      </c>
      <c r="O10" s="301">
        <v>43410.093925037218</v>
      </c>
      <c r="P10" s="301">
        <v>37051.323140117209</v>
      </c>
      <c r="Q10" s="301">
        <v>40517.67978591226</v>
      </c>
      <c r="R10" s="301">
        <v>40891.519083814608</v>
      </c>
      <c r="S10" s="14"/>
      <c r="U10" s="12"/>
      <c r="V10" s="12"/>
      <c r="W10" s="12"/>
      <c r="X10" s="12"/>
      <c r="Y10" s="12"/>
      <c r="Z10" s="12"/>
      <c r="AA10" s="12"/>
      <c r="AB10" s="12"/>
      <c r="AC10" s="12"/>
    </row>
    <row r="11" spans="2:29">
      <c r="B11" s="46" t="s">
        <v>27</v>
      </c>
      <c r="C11" s="180">
        <f t="shared" ref="C11:J11" si="0">SUM(C7:C10)</f>
        <v>214753</v>
      </c>
      <c r="D11" s="180">
        <f t="shared" si="0"/>
        <v>227982</v>
      </c>
      <c r="E11" s="180">
        <f t="shared" si="0"/>
        <v>211736</v>
      </c>
      <c r="F11" s="180">
        <f t="shared" si="0"/>
        <v>235203</v>
      </c>
      <c r="G11" s="48">
        <f t="shared" si="0"/>
        <v>209400</v>
      </c>
      <c r="H11" s="48">
        <f t="shared" si="0"/>
        <v>196589</v>
      </c>
      <c r="I11" s="48">
        <f t="shared" si="0"/>
        <v>178193</v>
      </c>
      <c r="J11" s="48">
        <f t="shared" si="0"/>
        <v>229346</v>
      </c>
      <c r="K11" s="265">
        <f t="shared" ref="K11:R11" si="1">SUM(K7:K10)</f>
        <v>178156</v>
      </c>
      <c r="L11" s="265">
        <f t="shared" si="1"/>
        <v>218092</v>
      </c>
      <c r="M11" s="265">
        <f t="shared" si="1"/>
        <v>173191.69045047869</v>
      </c>
      <c r="N11" s="265">
        <f t="shared" si="1"/>
        <v>184983</v>
      </c>
      <c r="O11" s="287">
        <f t="shared" si="1"/>
        <v>205508.16030806431</v>
      </c>
      <c r="P11" s="287">
        <f t="shared" si="1"/>
        <v>181951.33790917444</v>
      </c>
      <c r="Q11" s="287">
        <f t="shared" si="1"/>
        <v>200436.85999691719</v>
      </c>
      <c r="R11" s="287">
        <f t="shared" si="1"/>
        <v>274657.55436777498</v>
      </c>
      <c r="S11" s="14"/>
    </row>
    <row r="12" spans="2:29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14"/>
      <c r="U12" s="12"/>
      <c r="V12" s="12"/>
      <c r="W12" s="12"/>
      <c r="X12" s="12"/>
      <c r="Y12" s="12"/>
      <c r="Z12" s="12"/>
      <c r="AA12" s="12"/>
      <c r="AB12" s="12"/>
      <c r="AC12" s="12"/>
    </row>
    <row r="13" spans="2:29">
      <c r="B13" s="54" t="s">
        <v>38</v>
      </c>
      <c r="C13" s="181">
        <f t="shared" ref="C13:J13" si="2">+C5-C11</f>
        <v>8506</v>
      </c>
      <c r="D13" s="181">
        <f t="shared" si="2"/>
        <v>22723</v>
      </c>
      <c r="E13" s="181">
        <f t="shared" si="2"/>
        <v>30894</v>
      </c>
      <c r="F13" s="181">
        <f t="shared" si="2"/>
        <v>10520</v>
      </c>
      <c r="G13" s="56">
        <f t="shared" si="2"/>
        <v>-7870</v>
      </c>
      <c r="H13" s="56">
        <f t="shared" si="2"/>
        <v>26120</v>
      </c>
      <c r="I13" s="56">
        <f t="shared" si="2"/>
        <v>32184</v>
      </c>
      <c r="J13" s="56">
        <f t="shared" si="2"/>
        <v>25343</v>
      </c>
      <c r="K13" s="261">
        <f t="shared" ref="K13:R13" si="3">+K5-K11</f>
        <v>13329</v>
      </c>
      <c r="L13" s="261">
        <f t="shared" si="3"/>
        <v>34541</v>
      </c>
      <c r="M13" s="261">
        <f t="shared" si="3"/>
        <v>30689.964441123768</v>
      </c>
      <c r="N13" s="261">
        <f t="shared" si="3"/>
        <v>27035</v>
      </c>
      <c r="O13" s="283">
        <f t="shared" si="3"/>
        <v>10009.570877141727</v>
      </c>
      <c r="P13" s="283">
        <f t="shared" si="3"/>
        <v>31566.985575612955</v>
      </c>
      <c r="Q13" s="283">
        <f t="shared" si="3"/>
        <v>14847.189145712066</v>
      </c>
      <c r="R13" s="283">
        <f t="shared" si="3"/>
        <v>29990.492225020775</v>
      </c>
      <c r="S13" s="14"/>
    </row>
    <row r="14" spans="2:29">
      <c r="B14" s="46"/>
      <c r="C14" s="180"/>
      <c r="D14" s="180"/>
      <c r="E14" s="180"/>
      <c r="F14" s="180"/>
      <c r="G14" s="48"/>
      <c r="H14" s="48"/>
      <c r="I14" s="48"/>
      <c r="J14" s="48"/>
      <c r="K14" s="265"/>
      <c r="L14" s="265"/>
      <c r="M14" s="265"/>
      <c r="N14" s="265"/>
      <c r="O14" s="287"/>
      <c r="P14" s="287"/>
      <c r="Q14" s="287"/>
      <c r="R14" s="287"/>
      <c r="S14" s="14"/>
      <c r="U14" s="12"/>
      <c r="V14" s="12"/>
      <c r="W14" s="12"/>
      <c r="X14" s="12"/>
      <c r="Y14" s="12"/>
      <c r="Z14" s="12"/>
      <c r="AA14" s="12"/>
      <c r="AB14" s="12"/>
      <c r="AC14" s="12"/>
    </row>
    <row r="15" spans="2:29">
      <c r="B15" s="46" t="s">
        <v>28</v>
      </c>
      <c r="C15" s="180">
        <v>19161</v>
      </c>
      <c r="D15" s="180">
        <v>17732</v>
      </c>
      <c r="E15" s="180">
        <v>17725</v>
      </c>
      <c r="F15" s="180">
        <v>14074</v>
      </c>
      <c r="G15" s="48">
        <v>15701</v>
      </c>
      <c r="H15" s="48">
        <v>16196</v>
      </c>
      <c r="I15" s="48">
        <v>14436</v>
      </c>
      <c r="J15" s="48">
        <v>17706</v>
      </c>
      <c r="K15" s="265">
        <f>7442+7010</f>
        <v>14452</v>
      </c>
      <c r="L15" s="265">
        <f>7464+7492</f>
        <v>14956</v>
      </c>
      <c r="M15" s="265">
        <f>7114+7396</f>
        <v>14510</v>
      </c>
      <c r="N15" s="265">
        <v>6039</v>
      </c>
      <c r="O15" s="287">
        <v>8011</v>
      </c>
      <c r="P15" s="287">
        <v>7704</v>
      </c>
      <c r="Q15" s="287">
        <v>9302.0548972351335</v>
      </c>
      <c r="R15" s="287">
        <v>10556.29790355695</v>
      </c>
      <c r="S15" s="14"/>
    </row>
    <row r="16" spans="2:29">
      <c r="B16" s="46" t="s">
        <v>19</v>
      </c>
      <c r="C16" s="180">
        <v>0</v>
      </c>
      <c r="D16" s="180">
        <v>0</v>
      </c>
      <c r="E16" s="180">
        <v>0</v>
      </c>
      <c r="F16" s="180">
        <v>31883</v>
      </c>
      <c r="G16" s="48">
        <v>0</v>
      </c>
      <c r="H16" s="48">
        <v>0</v>
      </c>
      <c r="I16" s="48">
        <v>0</v>
      </c>
      <c r="J16" s="48">
        <v>20538</v>
      </c>
      <c r="K16" s="265"/>
      <c r="L16" s="265"/>
      <c r="M16" s="265"/>
      <c r="N16" s="265">
        <v>7824</v>
      </c>
      <c r="O16" s="287">
        <v>5253</v>
      </c>
      <c r="P16" s="287">
        <v>5287</v>
      </c>
      <c r="Q16" s="287">
        <v>2996.951</v>
      </c>
      <c r="R16" s="287">
        <v>4724.402</v>
      </c>
      <c r="S16" s="14"/>
      <c r="U16" s="12"/>
      <c r="V16" s="12"/>
      <c r="W16" s="12"/>
      <c r="X16" s="12"/>
      <c r="Y16" s="12"/>
      <c r="Z16" s="12"/>
      <c r="AA16" s="12"/>
      <c r="AB16" s="12"/>
      <c r="AC16" s="12"/>
    </row>
    <row r="17" spans="2:29">
      <c r="B17" s="46" t="s">
        <v>146</v>
      </c>
      <c r="C17" s="180"/>
      <c r="D17" s="180"/>
      <c r="E17" s="180"/>
      <c r="F17" s="180"/>
      <c r="G17" s="48"/>
      <c r="H17" s="48"/>
      <c r="I17" s="48"/>
      <c r="J17" s="48"/>
      <c r="K17" s="265">
        <v>252</v>
      </c>
      <c r="L17" s="265"/>
      <c r="M17" s="265">
        <v>2200</v>
      </c>
      <c r="N17" s="265"/>
      <c r="O17" s="287"/>
      <c r="P17" s="287"/>
      <c r="Q17" s="287"/>
      <c r="R17" s="287"/>
      <c r="S17" s="14"/>
    </row>
    <row r="18" spans="2:29">
      <c r="B18" s="54" t="s">
        <v>39</v>
      </c>
      <c r="C18" s="181">
        <f t="shared" ref="C18:F18" si="4">C13-C15-C16</f>
        <v>-10655</v>
      </c>
      <c r="D18" s="181">
        <f t="shared" si="4"/>
        <v>4991</v>
      </c>
      <c r="E18" s="181">
        <f>E13-E15-E16</f>
        <v>13169</v>
      </c>
      <c r="F18" s="181">
        <f t="shared" si="4"/>
        <v>-35437</v>
      </c>
      <c r="G18" s="56">
        <f>G13-G15-G16</f>
        <v>-23571</v>
      </c>
      <c r="H18" s="56">
        <f t="shared" ref="H18:J18" si="5">H13-H15-H16</f>
        <v>9924</v>
      </c>
      <c r="I18" s="56">
        <f t="shared" si="5"/>
        <v>17748</v>
      </c>
      <c r="J18" s="56">
        <f t="shared" si="5"/>
        <v>-12901</v>
      </c>
      <c r="K18" s="261">
        <f>K13-K15-K16+K17</f>
        <v>-871</v>
      </c>
      <c r="L18" s="261">
        <f t="shared" ref="L18:R18" si="6">L13-L15-L16</f>
        <v>19585</v>
      </c>
      <c r="M18" s="261">
        <f>M13-M15-M16+M17</f>
        <v>18379.964441123768</v>
      </c>
      <c r="N18" s="261">
        <f t="shared" si="6"/>
        <v>13172</v>
      </c>
      <c r="O18" s="283">
        <f t="shared" si="6"/>
        <v>-3254.4291228582733</v>
      </c>
      <c r="P18" s="283">
        <f t="shared" si="6"/>
        <v>18575.985575612955</v>
      </c>
      <c r="Q18" s="283">
        <f t="shared" si="6"/>
        <v>2548.183248476932</v>
      </c>
      <c r="R18" s="283">
        <f t="shared" si="6"/>
        <v>14709.792321463823</v>
      </c>
      <c r="S18" s="14"/>
      <c r="U18" s="12"/>
      <c r="V18" s="12"/>
      <c r="W18" s="12"/>
      <c r="X18" s="12"/>
      <c r="Y18" s="12"/>
      <c r="Z18" s="12"/>
      <c r="AA18" s="12"/>
      <c r="AB18" s="12"/>
      <c r="AC18" s="12"/>
    </row>
    <row r="19" spans="2:29">
      <c r="B19" s="46"/>
      <c r="C19" s="180"/>
      <c r="D19" s="180"/>
      <c r="E19" s="180"/>
      <c r="F19" s="180"/>
      <c r="G19" s="48"/>
      <c r="H19" s="48"/>
      <c r="I19" s="48"/>
      <c r="J19" s="48"/>
      <c r="K19" s="265"/>
      <c r="L19" s="265"/>
      <c r="M19" s="265"/>
      <c r="N19" s="265"/>
      <c r="O19" s="287"/>
      <c r="P19" s="287"/>
      <c r="Q19" s="287"/>
      <c r="R19" s="287"/>
      <c r="S19" s="14"/>
    </row>
    <row r="20" spans="2:29">
      <c r="B20" s="46" t="s">
        <v>29</v>
      </c>
      <c r="C20" s="180">
        <v>2498</v>
      </c>
      <c r="D20" s="180">
        <v>4382</v>
      </c>
      <c r="E20" s="180">
        <v>19062</v>
      </c>
      <c r="F20" s="180">
        <v>9972</v>
      </c>
      <c r="G20" s="48">
        <v>48365</v>
      </c>
      <c r="H20" s="48">
        <v>9036</v>
      </c>
      <c r="I20" s="48">
        <v>3861</v>
      </c>
      <c r="J20" s="48">
        <v>3893</v>
      </c>
      <c r="K20" s="265">
        <v>4150</v>
      </c>
      <c r="L20" s="265">
        <v>4180.948310959001</v>
      </c>
      <c r="M20" s="265">
        <v>10139.963940695405</v>
      </c>
      <c r="N20" s="265">
        <v>9675.4249511917078</v>
      </c>
      <c r="O20" s="287">
        <v>641.60559594200549</v>
      </c>
      <c r="P20" s="287">
        <v>9121.4706852657873</v>
      </c>
      <c r="Q20" s="287">
        <v>9106.3773733892704</v>
      </c>
      <c r="R20" s="287">
        <v>5670.8023579176815</v>
      </c>
      <c r="S20" s="14"/>
    </row>
    <row r="21" spans="2:29">
      <c r="B21" s="50" t="s">
        <v>30</v>
      </c>
      <c r="C21" s="204">
        <v>-9623</v>
      </c>
      <c r="D21" s="204">
        <v>-9764</v>
      </c>
      <c r="E21" s="204">
        <v>-3800</v>
      </c>
      <c r="F21" s="204">
        <v>-8396</v>
      </c>
      <c r="G21" s="52">
        <v>-37222</v>
      </c>
      <c r="H21" s="52">
        <v>-17713</v>
      </c>
      <c r="I21" s="52">
        <v>-19545</v>
      </c>
      <c r="J21" s="52">
        <v>-14321</v>
      </c>
      <c r="K21" s="311">
        <v>-7376</v>
      </c>
      <c r="L21" s="311">
        <v>-7926.6812710978984</v>
      </c>
      <c r="M21" s="311">
        <v>-10019.127463436394</v>
      </c>
      <c r="N21" s="311">
        <v>-13523.768589360043</v>
      </c>
      <c r="O21" s="301">
        <v>-2545.9628032161063</v>
      </c>
      <c r="P21" s="301">
        <v>-12556.006865652065</v>
      </c>
      <c r="Q21" s="301">
        <v>-13312.753735172801</v>
      </c>
      <c r="R21" s="301">
        <v>-16281.338785843085</v>
      </c>
      <c r="S21" s="14"/>
    </row>
    <row r="22" spans="2:29">
      <c r="B22" s="46" t="s">
        <v>31</v>
      </c>
      <c r="C22" s="180">
        <f t="shared" ref="C22:J22" si="7">SUM(C20:C21)</f>
        <v>-7125</v>
      </c>
      <c r="D22" s="180">
        <f t="shared" si="7"/>
        <v>-5382</v>
      </c>
      <c r="E22" s="180">
        <f t="shared" si="7"/>
        <v>15262</v>
      </c>
      <c r="F22" s="180">
        <f t="shared" si="7"/>
        <v>1576</v>
      </c>
      <c r="G22" s="48">
        <f t="shared" si="7"/>
        <v>11143</v>
      </c>
      <c r="H22" s="48">
        <f t="shared" si="7"/>
        <v>-8677</v>
      </c>
      <c r="I22" s="48">
        <f t="shared" si="7"/>
        <v>-15684</v>
      </c>
      <c r="J22" s="48">
        <f t="shared" si="7"/>
        <v>-10428</v>
      </c>
      <c r="K22" s="265">
        <f t="shared" ref="K22:R22" si="8">SUM(K20:K21)</f>
        <v>-3226</v>
      </c>
      <c r="L22" s="265">
        <f t="shared" si="8"/>
        <v>-3745.7329601388974</v>
      </c>
      <c r="M22" s="265">
        <f t="shared" si="8"/>
        <v>120.83647725901028</v>
      </c>
      <c r="N22" s="265">
        <f t="shared" si="8"/>
        <v>-3848.343638168335</v>
      </c>
      <c r="O22" s="287">
        <f t="shared" si="8"/>
        <v>-1904.3572072741008</v>
      </c>
      <c r="P22" s="287">
        <f t="shared" si="8"/>
        <v>-3434.5361803862779</v>
      </c>
      <c r="Q22" s="287">
        <f t="shared" si="8"/>
        <v>-4206.3763617835302</v>
      </c>
      <c r="R22" s="287">
        <f t="shared" si="8"/>
        <v>-10610.536427925403</v>
      </c>
      <c r="S22" s="14"/>
      <c r="U22" s="12"/>
      <c r="V22" s="12"/>
      <c r="W22" s="12"/>
      <c r="X22" s="12"/>
      <c r="Y22" s="12"/>
      <c r="Z22" s="12"/>
      <c r="AA22" s="12"/>
      <c r="AB22" s="12"/>
      <c r="AC22" s="12"/>
    </row>
    <row r="23" spans="2:29">
      <c r="B23" s="46"/>
      <c r="C23" s="180"/>
      <c r="D23" s="180"/>
      <c r="E23" s="180"/>
      <c r="F23" s="180"/>
      <c r="G23" s="48"/>
      <c r="H23" s="48"/>
      <c r="I23" s="48"/>
      <c r="J23" s="48"/>
      <c r="K23" s="265"/>
      <c r="L23" s="265"/>
      <c r="M23" s="265"/>
      <c r="N23" s="265"/>
      <c r="O23" s="287"/>
      <c r="P23" s="287"/>
      <c r="Q23" s="287"/>
      <c r="R23" s="287"/>
      <c r="S23" s="14"/>
    </row>
    <row r="24" spans="2:29">
      <c r="B24" s="54" t="s">
        <v>32</v>
      </c>
      <c r="C24" s="181">
        <f t="shared" ref="C24:J24" si="9">+C18+C22</f>
        <v>-17780</v>
      </c>
      <c r="D24" s="181">
        <f t="shared" si="9"/>
        <v>-391</v>
      </c>
      <c r="E24" s="181">
        <f t="shared" si="9"/>
        <v>28431</v>
      </c>
      <c r="F24" s="181">
        <f t="shared" si="9"/>
        <v>-33861</v>
      </c>
      <c r="G24" s="56">
        <f t="shared" si="9"/>
        <v>-12428</v>
      </c>
      <c r="H24" s="56">
        <f t="shared" si="9"/>
        <v>1247</v>
      </c>
      <c r="I24" s="56">
        <f t="shared" si="9"/>
        <v>2064</v>
      </c>
      <c r="J24" s="56">
        <f t="shared" si="9"/>
        <v>-23329</v>
      </c>
      <c r="K24" s="261">
        <f t="shared" ref="K24:R24" si="10">+K18+K22</f>
        <v>-4097</v>
      </c>
      <c r="L24" s="261">
        <f t="shared" si="10"/>
        <v>15839.267039861103</v>
      </c>
      <c r="M24" s="261">
        <f t="shared" si="10"/>
        <v>18500.800918382778</v>
      </c>
      <c r="N24" s="261">
        <f t="shared" si="10"/>
        <v>9323.656361831665</v>
      </c>
      <c r="O24" s="283">
        <f t="shared" si="10"/>
        <v>-5158.7863301323741</v>
      </c>
      <c r="P24" s="283">
        <f t="shared" si="10"/>
        <v>15141.449395226677</v>
      </c>
      <c r="Q24" s="283">
        <f t="shared" si="10"/>
        <v>-1658.1931133065982</v>
      </c>
      <c r="R24" s="283">
        <f t="shared" si="10"/>
        <v>4099.2558935384204</v>
      </c>
      <c r="S24" s="14"/>
    </row>
    <row r="25" spans="2:29">
      <c r="B25" s="46"/>
      <c r="C25" s="180"/>
      <c r="D25" s="180"/>
      <c r="E25" s="180"/>
      <c r="F25" s="180"/>
      <c r="G25" s="48"/>
      <c r="H25" s="48"/>
      <c r="I25" s="48"/>
      <c r="J25" s="48"/>
      <c r="K25" s="265"/>
      <c r="L25" s="265"/>
      <c r="M25" s="265"/>
      <c r="N25" s="265"/>
      <c r="O25" s="287"/>
      <c r="P25" s="287"/>
      <c r="Q25" s="287"/>
      <c r="R25" s="287"/>
      <c r="S25" s="14"/>
    </row>
    <row r="26" spans="2:29">
      <c r="B26" s="46" t="s">
        <v>33</v>
      </c>
      <c r="C26" s="180">
        <v>-342</v>
      </c>
      <c r="D26" s="180">
        <v>-4158</v>
      </c>
      <c r="E26" s="180">
        <v>-3055</v>
      </c>
      <c r="F26" s="180">
        <v>7624</v>
      </c>
      <c r="G26" s="48">
        <v>-1006</v>
      </c>
      <c r="H26" s="48">
        <v>-6312</v>
      </c>
      <c r="I26" s="48">
        <v>983</v>
      </c>
      <c r="J26" s="48">
        <v>-2214</v>
      </c>
      <c r="K26" s="265">
        <v>19</v>
      </c>
      <c r="L26" s="265">
        <v>-1518</v>
      </c>
      <c r="M26" s="265">
        <v>-3596.5982491811214</v>
      </c>
      <c r="N26" s="265">
        <v>24158.892566522663</v>
      </c>
      <c r="O26" s="287">
        <v>-288.47995010399995</v>
      </c>
      <c r="P26" s="287">
        <v>5003.3643588070054</v>
      </c>
      <c r="Q26" s="287">
        <v>297.01911241142454</v>
      </c>
      <c r="R26" s="287">
        <v>-14567</v>
      </c>
      <c r="S26" s="14"/>
    </row>
    <row r="27" spans="2:29">
      <c r="B27" s="46"/>
      <c r="C27" s="204"/>
      <c r="D27" s="204"/>
      <c r="E27" s="204"/>
      <c r="F27" s="204"/>
      <c r="G27" s="52"/>
      <c r="H27" s="52"/>
      <c r="I27" s="52"/>
      <c r="J27" s="52"/>
      <c r="K27" s="311"/>
      <c r="L27" s="311"/>
      <c r="M27" s="311"/>
      <c r="N27" s="311"/>
      <c r="O27" s="301"/>
      <c r="P27" s="301"/>
      <c r="Q27" s="301"/>
      <c r="R27" s="301"/>
      <c r="S27" s="14"/>
    </row>
    <row r="28" spans="2:29">
      <c r="B28" s="58" t="s">
        <v>34</v>
      </c>
      <c r="C28" s="205">
        <f t="shared" ref="C28" si="11">C24+C26</f>
        <v>-18122</v>
      </c>
      <c r="D28" s="205">
        <f>D24+D26</f>
        <v>-4549</v>
      </c>
      <c r="E28" s="205">
        <f>E24+E26</f>
        <v>25376</v>
      </c>
      <c r="F28" s="205">
        <f>F24+F26</f>
        <v>-26237</v>
      </c>
      <c r="G28" s="48">
        <f t="shared" ref="G28:H28" si="12">G24+G26</f>
        <v>-13434</v>
      </c>
      <c r="H28" s="48">
        <f t="shared" si="12"/>
        <v>-5065</v>
      </c>
      <c r="I28" s="48">
        <f>I24+I26</f>
        <v>3047</v>
      </c>
      <c r="J28" s="48">
        <f>J24+J26</f>
        <v>-25543</v>
      </c>
      <c r="K28" s="265">
        <f t="shared" ref="K28:L28" si="13">K24+K26</f>
        <v>-4078</v>
      </c>
      <c r="L28" s="265">
        <f t="shared" si="13"/>
        <v>14321.267039861103</v>
      </c>
      <c r="M28" s="265">
        <f>M24+M26</f>
        <v>14904.202669201657</v>
      </c>
      <c r="N28" s="265">
        <f>N24+N26</f>
        <v>33482.548928354328</v>
      </c>
      <c r="O28" s="287">
        <f t="shared" ref="O28:R28" si="14">O24+O26</f>
        <v>-5447.2662802363739</v>
      </c>
      <c r="P28" s="287">
        <f t="shared" si="14"/>
        <v>20144.813754033683</v>
      </c>
      <c r="Q28" s="287">
        <f t="shared" si="14"/>
        <v>-1361.1740008951738</v>
      </c>
      <c r="R28" s="287">
        <f t="shared" si="14"/>
        <v>-10467.74410646158</v>
      </c>
      <c r="S28" s="14"/>
    </row>
    <row r="29" spans="2:29">
      <c r="B29" s="50" t="s">
        <v>35</v>
      </c>
      <c r="C29" s="204">
        <v>0</v>
      </c>
      <c r="D29" s="204">
        <v>0</v>
      </c>
      <c r="E29" s="204">
        <v>0</v>
      </c>
      <c r="F29" s="204">
        <v>0</v>
      </c>
      <c r="G29" s="52">
        <v>0</v>
      </c>
      <c r="H29" s="52">
        <v>0</v>
      </c>
      <c r="I29" s="52"/>
      <c r="J29" s="52"/>
      <c r="K29" s="311">
        <v>0</v>
      </c>
      <c r="L29" s="311"/>
      <c r="M29" s="311"/>
      <c r="N29" s="311"/>
      <c r="O29" s="301"/>
      <c r="P29" s="301"/>
      <c r="Q29" s="301"/>
      <c r="R29" s="301"/>
      <c r="S29" s="14"/>
    </row>
    <row r="30" spans="2:29">
      <c r="B30" s="91" t="s">
        <v>112</v>
      </c>
      <c r="C30" s="181">
        <f t="shared" ref="C30" si="15">SUM(C28:C29)</f>
        <v>-18122</v>
      </c>
      <c r="D30" s="181">
        <f>SUM(D28:D29)</f>
        <v>-4549</v>
      </c>
      <c r="E30" s="181">
        <f t="shared" ref="E30:J30" si="16">SUM(E28:E29)</f>
        <v>25376</v>
      </c>
      <c r="F30" s="181">
        <f t="shared" si="16"/>
        <v>-26237</v>
      </c>
      <c r="G30" s="56">
        <f t="shared" si="16"/>
        <v>-13434</v>
      </c>
      <c r="H30" s="56">
        <f t="shared" si="16"/>
        <v>-5065</v>
      </c>
      <c r="I30" s="56">
        <f t="shared" si="16"/>
        <v>3047</v>
      </c>
      <c r="J30" s="56">
        <f t="shared" si="16"/>
        <v>-25543</v>
      </c>
      <c r="K30" s="261">
        <f t="shared" ref="K30:R30" si="17">SUM(K28:K29)</f>
        <v>-4078</v>
      </c>
      <c r="L30" s="261">
        <f t="shared" si="17"/>
        <v>14321.267039861103</v>
      </c>
      <c r="M30" s="261">
        <f t="shared" si="17"/>
        <v>14904.202669201657</v>
      </c>
      <c r="N30" s="261">
        <f t="shared" si="17"/>
        <v>33482.548928354328</v>
      </c>
      <c r="O30" s="283">
        <f t="shared" si="17"/>
        <v>-5447.2662802363739</v>
      </c>
      <c r="P30" s="283">
        <f t="shared" si="17"/>
        <v>20144.813754033683</v>
      </c>
      <c r="Q30" s="283">
        <f t="shared" si="17"/>
        <v>-1361.1740008951738</v>
      </c>
      <c r="R30" s="283">
        <f t="shared" si="17"/>
        <v>-10467.74410646158</v>
      </c>
      <c r="S30" s="14"/>
    </row>
    <row r="31" spans="2:29">
      <c r="B31" s="65"/>
      <c r="C31" s="205"/>
      <c r="D31" s="205"/>
      <c r="E31" s="206"/>
      <c r="F31" s="180"/>
      <c r="G31" s="48"/>
      <c r="H31" s="48"/>
      <c r="I31" s="48"/>
      <c r="J31" s="48"/>
      <c r="K31" s="265"/>
      <c r="L31" s="265"/>
      <c r="M31" s="265"/>
      <c r="N31" s="265"/>
      <c r="O31" s="287"/>
      <c r="P31" s="287"/>
      <c r="Q31" s="287"/>
      <c r="R31" s="287"/>
      <c r="S31" s="14"/>
    </row>
    <row r="32" spans="2:29" ht="15.45">
      <c r="B32" s="6"/>
      <c r="C32" s="207"/>
      <c r="D32" s="207"/>
      <c r="E32" s="207"/>
      <c r="F32" s="207"/>
      <c r="G32" s="20"/>
      <c r="H32" s="19"/>
      <c r="I32" s="20"/>
      <c r="J32" s="19"/>
      <c r="K32" s="312"/>
      <c r="L32" s="313"/>
      <c r="M32" s="312"/>
      <c r="N32" s="313"/>
      <c r="O32" s="302"/>
      <c r="P32" s="303"/>
      <c r="Q32" s="302"/>
      <c r="R32" s="303"/>
      <c r="S32" s="14"/>
    </row>
    <row r="33" spans="1:19">
      <c r="B33" s="27" t="s">
        <v>40</v>
      </c>
      <c r="C33" s="208">
        <f t="shared" ref="C33:D33" si="18">SUM(C5-C7-C8)/C5</f>
        <v>0.56561213657680098</v>
      </c>
      <c r="D33" s="208">
        <f t="shared" si="18"/>
        <v>0.54748808360423606</v>
      </c>
      <c r="E33" s="208">
        <f t="shared" ref="E33" si="19">SUM(E5-E7-E8)/E5</f>
        <v>0.58357169352512051</v>
      </c>
      <c r="F33" s="208">
        <f>SUM(F5-F7-F8)/F5</f>
        <v>0.54639166866756472</v>
      </c>
      <c r="G33" s="29">
        <f t="shared" ref="G33:J33" si="20">SUM(G5-G7-G8)/G5</f>
        <v>0.63131543690765646</v>
      </c>
      <c r="H33" s="30">
        <f t="shared" si="20"/>
        <v>0.61357646076269934</v>
      </c>
      <c r="I33" s="29">
        <f t="shared" si="20"/>
        <v>0.64195230467208864</v>
      </c>
      <c r="J33" s="30">
        <f t="shared" si="20"/>
        <v>0.57409232436422464</v>
      </c>
      <c r="K33" s="267">
        <f t="shared" ref="K33:N33" si="21">SUM(K5-K7-K8)/K5</f>
        <v>0.68366190563229501</v>
      </c>
      <c r="L33" s="268">
        <f t="shared" si="21"/>
        <v>0.60024224863735143</v>
      </c>
      <c r="M33" s="267">
        <f t="shared" si="21"/>
        <v>0.68099952248636952</v>
      </c>
      <c r="N33" s="268">
        <f t="shared" si="21"/>
        <v>0.60698619928496633</v>
      </c>
      <c r="O33" s="300">
        <f t="shared" ref="O33:Q33" si="22">SUM(O5-O7-O8)/O5</f>
        <v>0.62862867476979656</v>
      </c>
      <c r="P33" s="300">
        <f t="shared" si="22"/>
        <v>0.68673684021676706</v>
      </c>
      <c r="Q33" s="300">
        <f t="shared" si="22"/>
        <v>0.67134309924169389</v>
      </c>
      <c r="R33" s="300">
        <f>IFERROR(SUM(R5-R7-R8)/R5,0)</f>
        <v>0.54309594862566324</v>
      </c>
      <c r="S33" s="14"/>
    </row>
    <row r="34" spans="1:19">
      <c r="B34" s="33" t="s">
        <v>16</v>
      </c>
      <c r="C34" s="208">
        <f t="shared" ref="C34:D34" si="23">C13/C5</f>
        <v>3.8099247958648927E-2</v>
      </c>
      <c r="D34" s="208">
        <f t="shared" si="23"/>
        <v>9.0636405336949805E-2</v>
      </c>
      <c r="E34" s="208">
        <f t="shared" ref="E34" si="24">E13/E5</f>
        <v>0.12732967893500391</v>
      </c>
      <c r="F34" s="208">
        <f>F13/F5</f>
        <v>4.2812435140381647E-2</v>
      </c>
      <c r="G34" s="29">
        <f t="shared" ref="G34:J34" si="25">G13/G5</f>
        <v>-3.9051257877239121E-2</v>
      </c>
      <c r="H34" s="30">
        <f t="shared" si="25"/>
        <v>0.1172830913883139</v>
      </c>
      <c r="I34" s="29">
        <f t="shared" si="25"/>
        <v>0.15298250284013937</v>
      </c>
      <c r="J34" s="30">
        <f t="shared" si="25"/>
        <v>9.9505671623038291E-2</v>
      </c>
      <c r="K34" s="267">
        <f t="shared" ref="K34:N34" si="26">K13/K5</f>
        <v>6.9608585528892597E-2</v>
      </c>
      <c r="L34" s="268">
        <f t="shared" si="26"/>
        <v>0.13672402259403957</v>
      </c>
      <c r="M34" s="267">
        <f t="shared" si="26"/>
        <v>0.15052832711918426</v>
      </c>
      <c r="N34" s="268">
        <f t="shared" si="26"/>
        <v>0.12751275835070608</v>
      </c>
      <c r="O34" s="300">
        <f t="shared" ref="O34:Q34" si="27">O13/O5</f>
        <v>4.6444303315999372E-2</v>
      </c>
      <c r="P34" s="300">
        <f t="shared" si="27"/>
        <v>0.14784204493747824</v>
      </c>
      <c r="Q34" s="300">
        <f t="shared" si="27"/>
        <v>6.8965579218902354E-2</v>
      </c>
      <c r="R34" s="300">
        <f>IFERROR(R13/R5,0)</f>
        <v>9.8443080664512558E-2</v>
      </c>
      <c r="S34" s="14"/>
    </row>
    <row r="35" spans="1:19">
      <c r="B35" s="27" t="s">
        <v>21</v>
      </c>
      <c r="C35" s="208">
        <f t="shared" ref="C35:D35" si="28">C18/C5</f>
        <v>-4.7724839760099259E-2</v>
      </c>
      <c r="D35" s="208">
        <f t="shared" si="28"/>
        <v>1.9907859835264555E-2</v>
      </c>
      <c r="E35" s="208">
        <f t="shared" ref="E35" si="29">E18/E5</f>
        <v>5.4276058195606477E-2</v>
      </c>
      <c r="F35" s="208">
        <f>F18/F5</f>
        <v>-0.14421523422715823</v>
      </c>
      <c r="G35" s="29">
        <f t="shared" ref="G35:J35" si="30">G18/G5</f>
        <v>-0.11696025405646802</v>
      </c>
      <c r="H35" s="30">
        <f t="shared" si="30"/>
        <v>4.45603904646871E-2</v>
      </c>
      <c r="I35" s="29">
        <f t="shared" si="30"/>
        <v>8.4362834340255821E-2</v>
      </c>
      <c r="J35" s="30">
        <f t="shared" si="30"/>
        <v>-5.0653934798911615E-2</v>
      </c>
      <c r="K35" s="267">
        <f t="shared" ref="K35:N35" si="31">K18/K5</f>
        <v>-4.5486591639031775E-3</v>
      </c>
      <c r="L35" s="268">
        <f t="shared" si="31"/>
        <v>7.7523522263520606E-2</v>
      </c>
      <c r="M35" s="267">
        <f t="shared" si="31"/>
        <v>9.0150163097782496E-2</v>
      </c>
      <c r="N35" s="268">
        <f t="shared" si="31"/>
        <v>6.2126800554669889E-2</v>
      </c>
      <c r="O35" s="300">
        <f t="shared" ref="O35:Q35" si="32">O18/O5</f>
        <v>-1.5100516811127555E-2</v>
      </c>
      <c r="P35" s="300">
        <f t="shared" si="32"/>
        <v>8.6999491530460812E-2</v>
      </c>
      <c r="Q35" s="300">
        <f t="shared" si="32"/>
        <v>1.1836377375031246E-2</v>
      </c>
      <c r="R35" s="300">
        <f>IFERROR(R18/R5,0)</f>
        <v>4.828454502163769E-2</v>
      </c>
      <c r="S35" s="14"/>
    </row>
    <row r="36" spans="1:19">
      <c r="B36" s="27" t="s">
        <v>36</v>
      </c>
      <c r="C36" s="209">
        <f t="shared" ref="C36:D36" si="33">C30/C39*1000</f>
        <v>-0.20310804852796202</v>
      </c>
      <c r="D36" s="209">
        <f t="shared" si="33"/>
        <v>-5.098435673511198E-2</v>
      </c>
      <c r="E36" s="209">
        <f t="shared" ref="E36" si="34">E30/E39*1000</f>
        <v>0.28440954858434858</v>
      </c>
      <c r="F36" s="209">
        <f>F30/F39*1000</f>
        <v>-0.29405947849178571</v>
      </c>
      <c r="G36" s="34">
        <f t="shared" ref="G36:I36" si="35">G30/G39*1000</f>
        <v>-0.15056580531534278</v>
      </c>
      <c r="H36" s="34">
        <f t="shared" si="35"/>
        <v>-5.6767589989743281E-2</v>
      </c>
      <c r="I36" s="34">
        <f t="shared" si="35"/>
        <v>3.4150216524925524E-2</v>
      </c>
      <c r="J36" s="34">
        <v>-0.28999999999999998</v>
      </c>
      <c r="K36" s="314">
        <f t="shared" ref="K36:M36" si="36">K30/K39*1000</f>
        <v>-3.6658019760740172E-2</v>
      </c>
      <c r="L36" s="314">
        <v>0.13</v>
      </c>
      <c r="M36" s="314">
        <f t="shared" si="36"/>
        <v>0.1339770858179673</v>
      </c>
      <c r="N36" s="314">
        <v>-0.28999999999999998</v>
      </c>
      <c r="O36" s="304">
        <v>-0.28999999999999998</v>
      </c>
      <c r="P36" s="304">
        <v>0.18108606686409934</v>
      </c>
      <c r="Q36" s="304">
        <v>-0.28999999999999998</v>
      </c>
      <c r="R36" s="304">
        <v>-0.28999999999999998</v>
      </c>
      <c r="S36" s="14"/>
    </row>
    <row r="37" spans="1:19">
      <c r="B37" s="27" t="s">
        <v>37</v>
      </c>
      <c r="C37" s="210">
        <f t="shared" ref="C37" si="37">C30/C40*1000</f>
        <v>-0.19796927137181355</v>
      </c>
      <c r="D37" s="210">
        <f>D30/D40*1000</f>
        <v>-4.9479273558969694E-2</v>
      </c>
      <c r="E37" s="210">
        <f>E30/E40*1000</f>
        <v>0.27600036318584992</v>
      </c>
      <c r="F37" s="210">
        <f>F30/F40*1000</f>
        <v>-0.28536497197774058</v>
      </c>
      <c r="G37" s="113">
        <f t="shared" ref="G37:I37" si="38">G30/G40*1000</f>
        <v>-0.15056580531534278</v>
      </c>
      <c r="H37" s="113">
        <f t="shared" si="38"/>
        <v>-5.1960790971883865E-2</v>
      </c>
      <c r="I37" s="113">
        <f t="shared" si="38"/>
        <v>2.8332832355793276E-2</v>
      </c>
      <c r="J37" s="113">
        <v>-0.24</v>
      </c>
      <c r="K37" s="315">
        <f t="shared" ref="K37:M37" si="39">K30/K40*1000</f>
        <v>-3.6658019760740172E-2</v>
      </c>
      <c r="L37" s="315">
        <v>0.13</v>
      </c>
      <c r="M37" s="315">
        <f t="shared" si="39"/>
        <v>0.1339770858179673</v>
      </c>
      <c r="N37" s="315">
        <v>-0.24</v>
      </c>
      <c r="O37" s="305">
        <v>-0.24</v>
      </c>
      <c r="P37" s="304">
        <v>0.18108606686409934</v>
      </c>
      <c r="Q37" s="305">
        <v>-0.24</v>
      </c>
      <c r="R37" s="305">
        <v>-0.24</v>
      </c>
      <c r="S37" s="18"/>
    </row>
    <row r="38" spans="1:19" ht="15.45">
      <c r="A38" s="13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99"/>
      <c r="P38" s="299"/>
      <c r="Q38" s="299"/>
      <c r="R38" s="299"/>
      <c r="S38" s="14"/>
    </row>
    <row r="39" spans="1:19">
      <c r="B39" s="103" t="s">
        <v>41</v>
      </c>
      <c r="C39" s="211">
        <v>89223446</v>
      </c>
      <c r="D39" s="211">
        <v>89223446</v>
      </c>
      <c r="E39" s="211">
        <v>89223446</v>
      </c>
      <c r="F39" s="211">
        <v>89223446</v>
      </c>
      <c r="G39" s="26">
        <v>89223446</v>
      </c>
      <c r="H39" s="26">
        <v>89223446</v>
      </c>
      <c r="I39" s="26">
        <v>89223446</v>
      </c>
      <c r="J39" s="26">
        <v>89223446</v>
      </c>
      <c r="K39" s="316">
        <v>111244416</v>
      </c>
      <c r="L39" s="316">
        <v>111244416</v>
      </c>
      <c r="M39" s="316">
        <v>111244416</v>
      </c>
      <c r="N39" s="316">
        <v>111244416</v>
      </c>
      <c r="O39" s="306">
        <v>111244416</v>
      </c>
      <c r="P39" s="306">
        <v>111244416</v>
      </c>
      <c r="Q39" s="306">
        <v>111244416</v>
      </c>
      <c r="R39" s="306">
        <v>111244416</v>
      </c>
      <c r="S39" s="14"/>
    </row>
    <row r="40" spans="1:19">
      <c r="B40" s="33" t="s">
        <v>42</v>
      </c>
      <c r="C40" s="212">
        <v>91539459</v>
      </c>
      <c r="D40" s="212">
        <v>91937485.593406603</v>
      </c>
      <c r="E40" s="212">
        <v>91941908</v>
      </c>
      <c r="F40" s="212">
        <v>91941908</v>
      </c>
      <c r="G40" s="26">
        <v>89223446</v>
      </c>
      <c r="H40" s="26">
        <v>97477346</v>
      </c>
      <c r="I40" s="26">
        <v>107543078</v>
      </c>
      <c r="J40" s="26">
        <v>107543078</v>
      </c>
      <c r="K40" s="316">
        <v>111244416</v>
      </c>
      <c r="L40" s="316">
        <v>111244416</v>
      </c>
      <c r="M40" s="316">
        <v>111244416</v>
      </c>
      <c r="N40" s="316">
        <v>111244416</v>
      </c>
      <c r="O40" s="306">
        <v>111244416</v>
      </c>
      <c r="P40" s="306">
        <v>111244416</v>
      </c>
      <c r="Q40" s="306">
        <v>111244416</v>
      </c>
      <c r="R40" s="306">
        <v>111244416</v>
      </c>
      <c r="S40" s="14"/>
    </row>
    <row r="41" spans="1:19" ht="15.45">
      <c r="B41" s="17"/>
      <c r="C41" s="213"/>
      <c r="D41" s="214"/>
      <c r="E41" s="214"/>
      <c r="F41" s="214"/>
      <c r="G41" s="3"/>
      <c r="H41" s="2"/>
      <c r="I41" s="3"/>
      <c r="J41" s="2"/>
      <c r="K41" s="317"/>
      <c r="L41" s="318"/>
      <c r="M41" s="317"/>
      <c r="N41" s="318"/>
      <c r="O41" s="307"/>
      <c r="P41" s="308"/>
      <c r="Q41" s="307"/>
      <c r="R41" s="308"/>
      <c r="S41" s="14"/>
    </row>
    <row r="42" spans="1:19" ht="15.45">
      <c r="B42" s="35"/>
      <c r="C42" s="215"/>
      <c r="D42" s="216"/>
      <c r="E42" s="216"/>
      <c r="F42" s="217"/>
      <c r="G42" s="36"/>
      <c r="H42" s="11"/>
      <c r="I42" s="11"/>
      <c r="J42" s="11"/>
      <c r="K42" s="319"/>
      <c r="L42" s="320"/>
      <c r="M42" s="320"/>
      <c r="N42" s="320"/>
      <c r="O42" s="309"/>
      <c r="P42" s="310"/>
      <c r="Q42" s="310"/>
      <c r="R42" s="310"/>
      <c r="S42" s="14"/>
    </row>
    <row r="43" spans="1:19" ht="111.75" customHeight="1">
      <c r="B43" s="405" t="s">
        <v>139</v>
      </c>
      <c r="C43" s="405"/>
      <c r="D43" s="405"/>
      <c r="E43" s="405"/>
      <c r="F43" s="405"/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5"/>
      <c r="S43" s="405"/>
    </row>
  </sheetData>
  <mergeCells count="5">
    <mergeCell ref="B43:S43"/>
    <mergeCell ref="C3:F3"/>
    <mergeCell ref="G3:J3"/>
    <mergeCell ref="K3:N3"/>
    <mergeCell ref="O3:R3"/>
  </mergeCells>
  <pageMargins left="0.7" right="0.7" top="0.75" bottom="0.75" header="0.3" footer="0.3"/>
  <pageSetup paperSize="9" scale="55" orientation="landscape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6"/>
  <sheetViews>
    <sheetView view="pageBreakPreview" topLeftCell="B3" zoomScaleNormal="100" zoomScaleSheetLayoutView="100" workbookViewId="0">
      <selection activeCell="R17" sqref="R17"/>
    </sheetView>
  </sheetViews>
  <sheetFormatPr defaultColWidth="9.4609375" defaultRowHeight="12.9"/>
  <cols>
    <col min="1" max="1" width="2.4609375" style="59" customWidth="1"/>
    <col min="2" max="2" width="49" style="59" customWidth="1"/>
    <col min="3" max="18" width="10.53515625" style="59" customWidth="1"/>
    <col min="19" max="19" width="3" style="59" customWidth="1"/>
    <col min="20" max="16384" width="9.4609375" style="59"/>
  </cols>
  <sheetData>
    <row r="1" spans="2:19" ht="13.3" thickBot="1"/>
    <row r="2" spans="2:19" ht="15.9" thickBot="1">
      <c r="B2" s="1" t="s">
        <v>77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4"/>
    </row>
    <row r="3" spans="2:19" ht="13.3" thickBot="1">
      <c r="B3" s="37" t="s">
        <v>23</v>
      </c>
      <c r="C3" s="406">
        <v>2019</v>
      </c>
      <c r="D3" s="407"/>
      <c r="E3" s="407"/>
      <c r="F3" s="408"/>
      <c r="G3" s="398">
        <v>2020</v>
      </c>
      <c r="H3" s="399"/>
      <c r="I3" s="399"/>
      <c r="J3" s="400"/>
      <c r="K3" s="409">
        <v>2021</v>
      </c>
      <c r="L3" s="410"/>
      <c r="M3" s="410"/>
      <c r="N3" s="411"/>
      <c r="O3" s="412">
        <v>2022</v>
      </c>
      <c r="P3" s="413"/>
      <c r="Q3" s="413"/>
      <c r="R3" s="413"/>
      <c r="S3" s="14"/>
    </row>
    <row r="4" spans="2:19" ht="13.3" thickBot="1">
      <c r="B4" s="5" t="s">
        <v>1</v>
      </c>
      <c r="C4" s="177" t="s">
        <v>52</v>
      </c>
      <c r="D4" s="192" t="s">
        <v>53</v>
      </c>
      <c r="E4" s="177" t="s">
        <v>54</v>
      </c>
      <c r="F4" s="177" t="s">
        <v>55</v>
      </c>
      <c r="G4" s="38" t="s">
        <v>52</v>
      </c>
      <c r="H4" s="123" t="s">
        <v>53</v>
      </c>
      <c r="I4" s="38" t="s">
        <v>54</v>
      </c>
      <c r="J4" s="39" t="s">
        <v>55</v>
      </c>
      <c r="K4" s="277" t="s">
        <v>52</v>
      </c>
      <c r="L4" s="277" t="s">
        <v>53</v>
      </c>
      <c r="M4" s="277" t="s">
        <v>54</v>
      </c>
      <c r="N4" s="277" t="s">
        <v>55</v>
      </c>
      <c r="O4" s="281" t="s">
        <v>2</v>
      </c>
      <c r="P4" s="281" t="s">
        <v>3</v>
      </c>
      <c r="Q4" s="281" t="s">
        <v>4</v>
      </c>
      <c r="R4" s="282" t="s">
        <v>5</v>
      </c>
      <c r="S4" s="14"/>
    </row>
    <row r="5" spans="2:19">
      <c r="B5" s="60"/>
      <c r="C5" s="193"/>
      <c r="D5" s="193"/>
      <c r="E5" s="193"/>
      <c r="F5" s="193"/>
      <c r="G5" s="61"/>
      <c r="H5" s="61"/>
      <c r="I5" s="61"/>
      <c r="J5" s="61"/>
      <c r="K5" s="321"/>
      <c r="L5" s="321"/>
      <c r="M5" s="321"/>
      <c r="N5" s="321"/>
      <c r="O5" s="333"/>
      <c r="P5" s="333"/>
      <c r="Q5" s="333"/>
      <c r="R5" s="333"/>
      <c r="S5" s="14"/>
    </row>
    <row r="6" spans="2:19">
      <c r="B6" s="46" t="s">
        <v>44</v>
      </c>
      <c r="C6" s="180">
        <v>13524</v>
      </c>
      <c r="D6" s="180">
        <v>12568</v>
      </c>
      <c r="E6" s="180">
        <v>12412</v>
      </c>
      <c r="F6" s="180">
        <v>15564</v>
      </c>
      <c r="G6" s="48">
        <v>5322</v>
      </c>
      <c r="H6" s="48">
        <v>4573.4529999999995</v>
      </c>
      <c r="I6" s="48">
        <v>5465</v>
      </c>
      <c r="J6" s="48">
        <v>18823</v>
      </c>
      <c r="K6" s="265">
        <v>19159</v>
      </c>
      <c r="L6" s="265">
        <v>20466.277674810408</v>
      </c>
      <c r="M6" s="265">
        <v>22172.917222371838</v>
      </c>
      <c r="N6" s="265">
        <v>48262.149624678728</v>
      </c>
      <c r="O6" s="287">
        <v>47449.219001648715</v>
      </c>
      <c r="P6" s="287">
        <v>55036.135681150452</v>
      </c>
      <c r="Q6" s="287">
        <v>62272.940564186436</v>
      </c>
      <c r="R6" s="287">
        <v>47835</v>
      </c>
      <c r="S6" s="14"/>
    </row>
    <row r="7" spans="2:19">
      <c r="B7" s="46" t="s">
        <v>93</v>
      </c>
      <c r="C7" s="180">
        <v>140248</v>
      </c>
      <c r="D7" s="180">
        <v>132421</v>
      </c>
      <c r="E7" s="180">
        <v>129635</v>
      </c>
      <c r="F7" s="180">
        <v>114245</v>
      </c>
      <c r="G7" s="48">
        <v>98931</v>
      </c>
      <c r="H7" s="48">
        <v>94628.942999999999</v>
      </c>
      <c r="I7" s="48">
        <v>91511</v>
      </c>
      <c r="J7" s="48">
        <v>65286</v>
      </c>
      <c r="K7" s="265">
        <v>81659</v>
      </c>
      <c r="L7" s="265">
        <v>77763.667234233566</v>
      </c>
      <c r="M7" s="265">
        <v>77202.19673888151</v>
      </c>
      <c r="N7" s="265">
        <v>86513.823322850789</v>
      </c>
      <c r="O7" s="287">
        <v>93317.532883615102</v>
      </c>
      <c r="P7" s="287">
        <v>99064.606823671842</v>
      </c>
      <c r="Q7" s="287">
        <v>105359.24129346905</v>
      </c>
      <c r="R7" s="287">
        <v>102955.50450699804</v>
      </c>
      <c r="S7" s="14"/>
    </row>
    <row r="8" spans="2:19">
      <c r="B8" s="46" t="s">
        <v>43</v>
      </c>
      <c r="C8" s="180">
        <v>314636</v>
      </c>
      <c r="D8" s="180">
        <v>310219</v>
      </c>
      <c r="E8" s="180">
        <v>326595</v>
      </c>
      <c r="F8" s="180">
        <v>285270</v>
      </c>
      <c r="G8" s="48">
        <v>285130</v>
      </c>
      <c r="H8" s="48">
        <v>296121.52600000001</v>
      </c>
      <c r="I8" s="48">
        <v>291744</v>
      </c>
      <c r="J8" s="48">
        <v>266576</v>
      </c>
      <c r="K8" s="265">
        <v>280806</v>
      </c>
      <c r="L8" s="265">
        <v>282642.05220641731</v>
      </c>
      <c r="M8" s="265">
        <v>287512.21046326263</v>
      </c>
      <c r="N8" s="265">
        <v>287877.54561178735</v>
      </c>
      <c r="O8" s="287">
        <v>283390.2074059397</v>
      </c>
      <c r="P8" s="287">
        <v>313151.03456920193</v>
      </c>
      <c r="Q8" s="287">
        <v>335913.19827532361</v>
      </c>
      <c r="R8" s="287">
        <v>313049.25406434271</v>
      </c>
      <c r="S8" s="14"/>
    </row>
    <row r="9" spans="2:19">
      <c r="B9" s="46" t="s">
        <v>94</v>
      </c>
      <c r="C9" s="180">
        <v>84202</v>
      </c>
      <c r="D9" s="180">
        <v>78359</v>
      </c>
      <c r="E9" s="180">
        <v>75619</v>
      </c>
      <c r="F9" s="180">
        <v>78785</v>
      </c>
      <c r="G9" s="48">
        <v>72878</v>
      </c>
      <c r="H9" s="48">
        <v>64757.794000000002</v>
      </c>
      <c r="I9" s="48">
        <v>63408</v>
      </c>
      <c r="J9" s="48">
        <v>63311</v>
      </c>
      <c r="K9" s="265">
        <v>61238</v>
      </c>
      <c r="L9" s="265">
        <v>87551.555508368998</v>
      </c>
      <c r="M9" s="265">
        <v>82246.181849450601</v>
      </c>
      <c r="N9" s="265">
        <v>89785.439320064994</v>
      </c>
      <c r="O9" s="287">
        <v>85739.143323130498</v>
      </c>
      <c r="P9" s="287">
        <v>83944.530775548803</v>
      </c>
      <c r="Q9" s="287">
        <v>91723.948383540905</v>
      </c>
      <c r="R9" s="287">
        <v>113744.79361319619</v>
      </c>
      <c r="S9" s="14"/>
    </row>
    <row r="10" spans="2:19">
      <c r="B10" s="46" t="s">
        <v>95</v>
      </c>
      <c r="C10" s="180">
        <v>3610</v>
      </c>
      <c r="D10" s="180">
        <v>3574</v>
      </c>
      <c r="E10" s="180">
        <v>2916</v>
      </c>
      <c r="F10" s="180">
        <v>382</v>
      </c>
      <c r="G10" s="48">
        <v>262</v>
      </c>
      <c r="H10" s="48">
        <v>0</v>
      </c>
      <c r="I10" s="48">
        <v>0</v>
      </c>
      <c r="J10" s="48"/>
      <c r="K10" s="265">
        <v>6444</v>
      </c>
      <c r="L10" s="265">
        <v>6781.9722043439988</v>
      </c>
      <c r="M10" s="265">
        <v>6050.4649490700003</v>
      </c>
      <c r="N10" s="265">
        <v>7356.0344024890001</v>
      </c>
      <c r="O10" s="287">
        <v>6549.1283105470002</v>
      </c>
      <c r="P10" s="287">
        <v>6432.4474632820002</v>
      </c>
      <c r="Q10" s="287">
        <v>6749.316041264</v>
      </c>
      <c r="R10" s="287">
        <v>3491.90185092</v>
      </c>
      <c r="S10" s="14"/>
    </row>
    <row r="11" spans="2:19">
      <c r="B11" s="54" t="s">
        <v>45</v>
      </c>
      <c r="C11" s="181">
        <f t="shared" ref="C11:J11" si="0">SUM(C6:C10)</f>
        <v>556220</v>
      </c>
      <c r="D11" s="181">
        <f t="shared" si="0"/>
        <v>537141</v>
      </c>
      <c r="E11" s="181">
        <f t="shared" si="0"/>
        <v>547177</v>
      </c>
      <c r="F11" s="181">
        <f t="shared" si="0"/>
        <v>494246</v>
      </c>
      <c r="G11" s="56">
        <f t="shared" si="0"/>
        <v>462523</v>
      </c>
      <c r="H11" s="56">
        <f t="shared" si="0"/>
        <v>460081.71600000001</v>
      </c>
      <c r="I11" s="56">
        <f t="shared" si="0"/>
        <v>452128</v>
      </c>
      <c r="J11" s="56">
        <f t="shared" si="0"/>
        <v>413996</v>
      </c>
      <c r="K11" s="261">
        <f t="shared" ref="K11:N11" si="1">SUM(K6:K10)</f>
        <v>449306</v>
      </c>
      <c r="L11" s="261">
        <f t="shared" si="1"/>
        <v>475205.52482817427</v>
      </c>
      <c r="M11" s="261">
        <f t="shared" si="1"/>
        <v>475183.97122303653</v>
      </c>
      <c r="N11" s="261">
        <f t="shared" si="1"/>
        <v>519794.99228187086</v>
      </c>
      <c r="O11" s="283">
        <f t="shared" ref="O11:R11" si="2">SUM(O6:O10)</f>
        <v>516445.23092488101</v>
      </c>
      <c r="P11" s="283">
        <f t="shared" si="2"/>
        <v>557628.75531285501</v>
      </c>
      <c r="Q11" s="283">
        <f t="shared" si="2"/>
        <v>602018.64455778408</v>
      </c>
      <c r="R11" s="283">
        <f t="shared" si="2"/>
        <v>581076.45403545699</v>
      </c>
      <c r="S11" s="14"/>
    </row>
    <row r="12" spans="2:19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14"/>
    </row>
    <row r="13" spans="2:19">
      <c r="B13" s="46" t="s">
        <v>46</v>
      </c>
      <c r="C13" s="180">
        <v>63756</v>
      </c>
      <c r="D13" s="180">
        <v>66566</v>
      </c>
      <c r="E13" s="180">
        <v>73431</v>
      </c>
      <c r="F13" s="180">
        <v>76143</v>
      </c>
      <c r="G13" s="48">
        <v>49098</v>
      </c>
      <c r="H13" s="48">
        <v>41865.494999999995</v>
      </c>
      <c r="I13" s="48">
        <v>33953</v>
      </c>
      <c r="J13" s="48">
        <v>38450</v>
      </c>
      <c r="K13" s="265">
        <v>64209</v>
      </c>
      <c r="L13" s="265">
        <v>75889.035089499812</v>
      </c>
      <c r="M13" s="265">
        <v>77597.524045114522</v>
      </c>
      <c r="N13" s="265">
        <v>85831.713926381984</v>
      </c>
      <c r="O13" s="287">
        <v>85348.046554985936</v>
      </c>
      <c r="P13" s="287">
        <v>96218.40284761622</v>
      </c>
      <c r="Q13" s="287">
        <v>114661.29930002117</v>
      </c>
      <c r="R13" s="287">
        <v>86593.31592976168</v>
      </c>
      <c r="S13" s="14"/>
    </row>
    <row r="14" spans="2:19">
      <c r="B14" s="46" t="s">
        <v>47</v>
      </c>
      <c r="C14" s="180">
        <v>92664</v>
      </c>
      <c r="D14" s="180">
        <v>111797</v>
      </c>
      <c r="E14" s="180">
        <v>128724</v>
      </c>
      <c r="F14" s="180">
        <v>103957</v>
      </c>
      <c r="G14" s="48">
        <v>99351</v>
      </c>
      <c r="H14" s="48">
        <v>98246.751999999993</v>
      </c>
      <c r="I14" s="48">
        <v>101551</v>
      </c>
      <c r="J14" s="48">
        <v>93560</v>
      </c>
      <c r="K14" s="265">
        <v>86861</v>
      </c>
      <c r="L14" s="265">
        <v>93798.258260722476</v>
      </c>
      <c r="M14" s="265">
        <v>84982.037526836764</v>
      </c>
      <c r="N14" s="265">
        <v>59689.707836192436</v>
      </c>
      <c r="O14" s="287">
        <v>65659.166717155706</v>
      </c>
      <c r="P14" s="287">
        <v>65132.637875605986</v>
      </c>
      <c r="Q14" s="287">
        <v>83119.177249286382</v>
      </c>
      <c r="R14" s="287">
        <v>92472.97145885021</v>
      </c>
      <c r="S14" s="14"/>
    </row>
    <row r="15" spans="2:19">
      <c r="B15" s="46" t="s">
        <v>96</v>
      </c>
      <c r="C15" s="180">
        <v>123617</v>
      </c>
      <c r="D15" s="180">
        <v>170737</v>
      </c>
      <c r="E15" s="180">
        <v>169933</v>
      </c>
      <c r="F15" s="180">
        <v>140265</v>
      </c>
      <c r="G15" s="48">
        <v>133253</v>
      </c>
      <c r="H15" s="48">
        <v>113707.048</v>
      </c>
      <c r="I15" s="48">
        <v>107576</v>
      </c>
      <c r="J15" s="48">
        <v>109945</v>
      </c>
      <c r="K15" s="265">
        <v>130742</v>
      </c>
      <c r="L15" s="265">
        <v>170176.91112326656</v>
      </c>
      <c r="M15" s="265">
        <v>152572.45311836951</v>
      </c>
      <c r="N15" s="265">
        <v>174430.02946023474</v>
      </c>
      <c r="O15" s="287">
        <v>144444.05311616184</v>
      </c>
      <c r="P15" s="287">
        <v>160233.23687790445</v>
      </c>
      <c r="Q15" s="287">
        <v>167706.89784919054</v>
      </c>
      <c r="R15" s="287">
        <v>203253.37604282939</v>
      </c>
      <c r="S15" s="14"/>
    </row>
    <row r="16" spans="2:19">
      <c r="B16" s="46" t="s">
        <v>97</v>
      </c>
      <c r="C16" s="180">
        <v>40039</v>
      </c>
      <c r="D16" s="180">
        <v>35703</v>
      </c>
      <c r="E16" s="180">
        <v>42643</v>
      </c>
      <c r="F16" s="180">
        <v>37506</v>
      </c>
      <c r="G16" s="48">
        <v>35589</v>
      </c>
      <c r="H16" s="48">
        <v>37622.981</v>
      </c>
      <c r="I16" s="48">
        <v>34765</v>
      </c>
      <c r="J16" s="48">
        <v>24354</v>
      </c>
      <c r="K16" s="265">
        <v>40293</v>
      </c>
      <c r="L16" s="265">
        <v>26548.690151957519</v>
      </c>
      <c r="M16" s="265">
        <v>31951.600767674227</v>
      </c>
      <c r="N16" s="265">
        <v>26003.576011093937</v>
      </c>
      <c r="O16" s="287">
        <v>26553.426971147634</v>
      </c>
      <c r="P16" s="287">
        <v>20573.111490545198</v>
      </c>
      <c r="Q16" s="287">
        <v>45145</v>
      </c>
      <c r="R16" s="287">
        <v>43561.690284775905</v>
      </c>
      <c r="S16" s="14"/>
    </row>
    <row r="17" spans="2:19">
      <c r="B17" s="46" t="s">
        <v>50</v>
      </c>
      <c r="C17" s="180">
        <v>102164</v>
      </c>
      <c r="D17" s="180">
        <v>24852</v>
      </c>
      <c r="E17" s="180">
        <v>31873</v>
      </c>
      <c r="F17" s="180">
        <v>31051</v>
      </c>
      <c r="G17" s="48">
        <v>42551</v>
      </c>
      <c r="H17" s="48">
        <v>76147</v>
      </c>
      <c r="I17" s="48">
        <v>81280</v>
      </c>
      <c r="J17" s="48">
        <v>74961</v>
      </c>
      <c r="K17" s="265">
        <v>52945</v>
      </c>
      <c r="L17" s="265">
        <v>61605.91844249233</v>
      </c>
      <c r="M17" s="265">
        <v>84148.293748660173</v>
      </c>
      <c r="N17" s="265">
        <v>82015.056445375216</v>
      </c>
      <c r="O17" s="287">
        <v>91901.122188964568</v>
      </c>
      <c r="P17" s="287">
        <v>72832.58481477655</v>
      </c>
      <c r="Q17" s="287">
        <v>56523.719969240199</v>
      </c>
      <c r="R17" s="287">
        <v>76382.499983343791</v>
      </c>
      <c r="S17" s="14"/>
    </row>
    <row r="18" spans="2:19">
      <c r="B18" s="46" t="s">
        <v>49</v>
      </c>
      <c r="C18" s="180">
        <v>0</v>
      </c>
      <c r="D18" s="180">
        <v>0</v>
      </c>
      <c r="E18" s="180">
        <v>0</v>
      </c>
      <c r="F18" s="180">
        <v>0</v>
      </c>
      <c r="G18" s="48">
        <v>142868</v>
      </c>
      <c r="H18" s="48">
        <v>90192.008000000002</v>
      </c>
      <c r="I18" s="48">
        <v>103643</v>
      </c>
      <c r="J18" s="48">
        <v>91003</v>
      </c>
      <c r="K18" s="265">
        <v>0</v>
      </c>
      <c r="L18" s="265"/>
      <c r="M18" s="265"/>
      <c r="N18" s="265"/>
      <c r="O18" s="287">
        <v>0</v>
      </c>
      <c r="P18" s="287"/>
      <c r="Q18" s="287"/>
      <c r="R18" s="287"/>
      <c r="S18" s="14"/>
    </row>
    <row r="19" spans="2:19">
      <c r="B19" s="54" t="s">
        <v>48</v>
      </c>
      <c r="C19" s="181">
        <f t="shared" ref="C19:J19" si="3">SUM(C13:C18)</f>
        <v>422240</v>
      </c>
      <c r="D19" s="181">
        <f t="shared" si="3"/>
        <v>409655</v>
      </c>
      <c r="E19" s="181">
        <f t="shared" si="3"/>
        <v>446604</v>
      </c>
      <c r="F19" s="181">
        <f t="shared" si="3"/>
        <v>388922</v>
      </c>
      <c r="G19" s="56">
        <f t="shared" si="3"/>
        <v>502710</v>
      </c>
      <c r="H19" s="56">
        <f t="shared" si="3"/>
        <v>457781.28399999999</v>
      </c>
      <c r="I19" s="56">
        <f t="shared" si="3"/>
        <v>462768</v>
      </c>
      <c r="J19" s="56">
        <f t="shared" si="3"/>
        <v>432273</v>
      </c>
      <c r="K19" s="261">
        <f t="shared" ref="K19:N19" si="4">SUM(K13:K18)</f>
        <v>375050</v>
      </c>
      <c r="L19" s="261">
        <f t="shared" si="4"/>
        <v>428018.81306793867</v>
      </c>
      <c r="M19" s="261">
        <f t="shared" si="4"/>
        <v>431251.90920665523</v>
      </c>
      <c r="N19" s="261">
        <f t="shared" si="4"/>
        <v>427970.08367927826</v>
      </c>
      <c r="O19" s="283">
        <f t="shared" ref="O19:R19" si="5">SUM(O13:O18)</f>
        <v>413905.8155484157</v>
      </c>
      <c r="P19" s="283">
        <f t="shared" si="5"/>
        <v>414989.9739064484</v>
      </c>
      <c r="Q19" s="283">
        <f t="shared" si="5"/>
        <v>467156.09436773829</v>
      </c>
      <c r="R19" s="283">
        <f t="shared" si="5"/>
        <v>502263.85369956098</v>
      </c>
      <c r="S19" s="14"/>
    </row>
    <row r="20" spans="2:19">
      <c r="B20" s="46"/>
      <c r="C20" s="180"/>
      <c r="D20" s="180"/>
      <c r="E20" s="180"/>
      <c r="F20" s="180"/>
      <c r="G20" s="48"/>
      <c r="H20" s="48"/>
      <c r="I20" s="48"/>
      <c r="J20" s="48"/>
      <c r="K20" s="265"/>
      <c r="L20" s="265"/>
      <c r="M20" s="265"/>
      <c r="N20" s="265"/>
      <c r="O20" s="287"/>
      <c r="P20" s="287"/>
      <c r="Q20" s="287"/>
      <c r="R20" s="287"/>
      <c r="S20" s="14"/>
    </row>
    <row r="21" spans="2:19" ht="13.3" thickBot="1">
      <c r="B21" s="72" t="s">
        <v>51</v>
      </c>
      <c r="C21" s="194">
        <f t="shared" ref="C21:J21" si="6">C11+C19</f>
        <v>978460</v>
      </c>
      <c r="D21" s="194">
        <f t="shared" si="6"/>
        <v>946796</v>
      </c>
      <c r="E21" s="194">
        <f t="shared" si="6"/>
        <v>993781</v>
      </c>
      <c r="F21" s="194">
        <f t="shared" si="6"/>
        <v>883168</v>
      </c>
      <c r="G21" s="73">
        <f t="shared" si="6"/>
        <v>965233</v>
      </c>
      <c r="H21" s="73">
        <f t="shared" si="6"/>
        <v>917863</v>
      </c>
      <c r="I21" s="73">
        <f t="shared" si="6"/>
        <v>914896</v>
      </c>
      <c r="J21" s="73">
        <f t="shared" si="6"/>
        <v>846269</v>
      </c>
      <c r="K21" s="322">
        <f t="shared" ref="K21:N21" si="7">K11+K19</f>
        <v>824356</v>
      </c>
      <c r="L21" s="322">
        <f t="shared" si="7"/>
        <v>903224.33789611293</v>
      </c>
      <c r="M21" s="322">
        <f t="shared" si="7"/>
        <v>906435.88042969175</v>
      </c>
      <c r="N21" s="322">
        <f t="shared" si="7"/>
        <v>947765.07596114906</v>
      </c>
      <c r="O21" s="334">
        <f t="shared" ref="O21:R21" si="8">O11+O19</f>
        <v>930351.04647329671</v>
      </c>
      <c r="P21" s="334">
        <f t="shared" si="8"/>
        <v>972618.72921930347</v>
      </c>
      <c r="Q21" s="334">
        <f t="shared" si="8"/>
        <v>1069174.7389255224</v>
      </c>
      <c r="R21" s="334">
        <f t="shared" si="8"/>
        <v>1083340.307735018</v>
      </c>
      <c r="S21" s="14"/>
    </row>
    <row r="22" spans="2:19" ht="13.3" thickTop="1">
      <c r="B22" s="46"/>
      <c r="C22" s="180"/>
      <c r="D22" s="180"/>
      <c r="E22" s="180"/>
      <c r="F22" s="180"/>
      <c r="G22" s="48"/>
      <c r="H22" s="48"/>
      <c r="I22" s="48"/>
      <c r="J22" s="48"/>
      <c r="K22" s="265"/>
      <c r="L22" s="265"/>
      <c r="M22" s="265"/>
      <c r="N22" s="265"/>
      <c r="O22" s="287"/>
      <c r="P22" s="287"/>
      <c r="Q22" s="287"/>
      <c r="R22" s="287"/>
      <c r="S22" s="14"/>
    </row>
    <row r="23" spans="2:19">
      <c r="B23" s="42"/>
      <c r="C23" s="179"/>
      <c r="D23" s="179"/>
      <c r="E23" s="179"/>
      <c r="F23" s="179"/>
      <c r="G23" s="44"/>
      <c r="H23" s="44"/>
      <c r="I23" s="44"/>
      <c r="J23" s="44"/>
      <c r="K23" s="271"/>
      <c r="L23" s="271"/>
      <c r="M23" s="271"/>
      <c r="N23" s="271"/>
      <c r="O23" s="292"/>
      <c r="P23" s="292"/>
      <c r="Q23" s="292"/>
      <c r="R23" s="292"/>
      <c r="S23" s="14"/>
    </row>
    <row r="24" spans="2:19">
      <c r="B24" s="46" t="s">
        <v>56</v>
      </c>
      <c r="C24" s="180">
        <v>33905</v>
      </c>
      <c r="D24" s="180">
        <v>33905</v>
      </c>
      <c r="E24" s="180">
        <v>33905</v>
      </c>
      <c r="F24" s="180">
        <v>33905</v>
      </c>
      <c r="G24" s="48">
        <v>33905</v>
      </c>
      <c r="H24" s="48">
        <v>33905</v>
      </c>
      <c r="I24" s="48">
        <v>33905</v>
      </c>
      <c r="J24" s="48">
        <v>33905</v>
      </c>
      <c r="K24" s="265">
        <v>42273</v>
      </c>
      <c r="L24" s="265">
        <v>42272.878968680081</v>
      </c>
      <c r="M24" s="265">
        <v>42272.878968680081</v>
      </c>
      <c r="N24" s="265">
        <v>42272.877968680084</v>
      </c>
      <c r="O24" s="287">
        <v>42272.877643960055</v>
      </c>
      <c r="P24" s="287">
        <v>42272.877643960055</v>
      </c>
      <c r="Q24" s="287">
        <v>42272.877643960055</v>
      </c>
      <c r="R24" s="287">
        <v>42272.877643960055</v>
      </c>
      <c r="S24" s="14"/>
    </row>
    <row r="25" spans="2:19">
      <c r="B25" s="46" t="s">
        <v>98</v>
      </c>
      <c r="C25" s="180">
        <v>578307</v>
      </c>
      <c r="D25" s="180">
        <v>578307</v>
      </c>
      <c r="E25" s="180">
        <v>578307</v>
      </c>
      <c r="F25" s="180">
        <v>578307</v>
      </c>
      <c r="G25" s="48">
        <v>578307</v>
      </c>
      <c r="H25" s="48">
        <v>578307</v>
      </c>
      <c r="I25" s="48">
        <v>578307</v>
      </c>
      <c r="J25" s="48">
        <v>578307</v>
      </c>
      <c r="K25" s="265">
        <v>649939</v>
      </c>
      <c r="L25" s="265">
        <v>649938.66246999998</v>
      </c>
      <c r="M25" s="265">
        <v>649938.66246999998</v>
      </c>
      <c r="N25" s="265">
        <v>649938.66246999998</v>
      </c>
      <c r="O25" s="287">
        <v>649938.66246999998</v>
      </c>
      <c r="P25" s="287">
        <v>649938.66246999998</v>
      </c>
      <c r="Q25" s="287">
        <v>649938.66246999998</v>
      </c>
      <c r="R25" s="287">
        <v>649938.66246999998</v>
      </c>
      <c r="S25" s="14"/>
    </row>
    <row r="26" spans="2:19">
      <c r="B26" s="46" t="s">
        <v>99</v>
      </c>
      <c r="C26" s="180">
        <v>21038</v>
      </c>
      <c r="D26" s="180">
        <v>21136</v>
      </c>
      <c r="E26" s="180">
        <v>21142</v>
      </c>
      <c r="F26" s="180">
        <v>21183</v>
      </c>
      <c r="G26" s="48">
        <v>21118</v>
      </c>
      <c r="H26" s="48">
        <v>21140</v>
      </c>
      <c r="I26" s="48">
        <v>21199</v>
      </c>
      <c r="J26" s="48">
        <v>21223</v>
      </c>
      <c r="K26" s="265">
        <v>21247</v>
      </c>
      <c r="L26" s="265">
        <v>23188.800719999999</v>
      </c>
      <c r="M26" s="265">
        <v>21295.723249999999</v>
      </c>
      <c r="N26" s="265">
        <v>21319.919249999999</v>
      </c>
      <c r="O26" s="287">
        <v>21344.115249999999</v>
      </c>
      <c r="P26" s="287">
        <v>21344.115249999992</v>
      </c>
      <c r="Q26" s="287">
        <v>20906.311249999999</v>
      </c>
      <c r="R26" s="287">
        <v>20930.507249999999</v>
      </c>
      <c r="S26" s="14"/>
    </row>
    <row r="27" spans="2:19">
      <c r="B27" s="46" t="s">
        <v>100</v>
      </c>
      <c r="C27" s="180">
        <v>-254967</v>
      </c>
      <c r="D27" s="180">
        <v>-264396</v>
      </c>
      <c r="E27" s="180">
        <v>-224548</v>
      </c>
      <c r="F27" s="180">
        <v>-275893</v>
      </c>
      <c r="G27" s="48">
        <v>-222975</v>
      </c>
      <c r="H27" s="48">
        <v>-245926</v>
      </c>
      <c r="I27" s="48">
        <v>-245274</v>
      </c>
      <c r="J27" s="48">
        <v>-321991</v>
      </c>
      <c r="K27" s="265">
        <v>-343298</v>
      </c>
      <c r="L27" s="265">
        <v>-322366.71014495054</v>
      </c>
      <c r="M27" s="265">
        <v>-299594.95417530136</v>
      </c>
      <c r="N27" s="265">
        <v>-265777.93244735693</v>
      </c>
      <c r="O27" s="287">
        <v>-281920.01042933454</v>
      </c>
      <c r="P27" s="287">
        <v>-249680.81462014097</v>
      </c>
      <c r="Q27" s="287">
        <v>-177132.36812103612</v>
      </c>
      <c r="R27" s="287">
        <v>-220111</v>
      </c>
      <c r="S27" s="14"/>
    </row>
    <row r="28" spans="2:19">
      <c r="B28" s="54" t="s">
        <v>57</v>
      </c>
      <c r="C28" s="181">
        <f>SUM(C24:C27)</f>
        <v>378283</v>
      </c>
      <c r="D28" s="181">
        <f t="shared" ref="D28:J28" si="9">SUM(D24:D27)</f>
        <v>368952</v>
      </c>
      <c r="E28" s="181">
        <f t="shared" si="9"/>
        <v>408806</v>
      </c>
      <c r="F28" s="181">
        <f t="shared" si="9"/>
        <v>357502</v>
      </c>
      <c r="G28" s="56">
        <f t="shared" si="9"/>
        <v>410355</v>
      </c>
      <c r="H28" s="56">
        <f t="shared" si="9"/>
        <v>387426</v>
      </c>
      <c r="I28" s="56">
        <f t="shared" si="9"/>
        <v>388137</v>
      </c>
      <c r="J28" s="56">
        <f t="shared" si="9"/>
        <v>311444</v>
      </c>
      <c r="K28" s="261">
        <f t="shared" ref="K28:N28" si="10">SUM(K24:K27)</f>
        <v>370161</v>
      </c>
      <c r="L28" s="261">
        <f t="shared" si="10"/>
        <v>393033.63201372954</v>
      </c>
      <c r="M28" s="261">
        <f t="shared" si="10"/>
        <v>413912.3105133787</v>
      </c>
      <c r="N28" s="261">
        <f t="shared" si="10"/>
        <v>447753.5272413232</v>
      </c>
      <c r="O28" s="283">
        <f t="shared" ref="O28:R28" si="11">SUM(O24:O27)</f>
        <v>431635.64493462554</v>
      </c>
      <c r="P28" s="283">
        <f t="shared" si="11"/>
        <v>463874.84074381914</v>
      </c>
      <c r="Q28" s="283">
        <f t="shared" si="11"/>
        <v>535985.48324292398</v>
      </c>
      <c r="R28" s="283">
        <f t="shared" si="11"/>
        <v>493031.04736396007</v>
      </c>
      <c r="S28" s="14"/>
    </row>
    <row r="29" spans="2:19">
      <c r="B29" s="46"/>
      <c r="C29" s="180"/>
      <c r="D29" s="180"/>
      <c r="E29" s="180"/>
      <c r="F29" s="180"/>
      <c r="G29" s="48"/>
      <c r="H29" s="48"/>
      <c r="I29" s="48"/>
      <c r="J29" s="48"/>
      <c r="K29" s="265"/>
      <c r="L29" s="265"/>
      <c r="M29" s="265"/>
      <c r="N29" s="265"/>
      <c r="O29" s="287"/>
      <c r="P29" s="287"/>
      <c r="Q29" s="287"/>
      <c r="R29" s="287"/>
      <c r="S29" s="14"/>
    </row>
    <row r="30" spans="2:19">
      <c r="B30" s="46" t="s">
        <v>101</v>
      </c>
      <c r="C30" s="180">
        <v>181000</v>
      </c>
      <c r="D30" s="180">
        <v>188500</v>
      </c>
      <c r="E30" s="180">
        <v>192500</v>
      </c>
      <c r="F30" s="180">
        <v>160000</v>
      </c>
      <c r="G30" s="48">
        <v>144000</v>
      </c>
      <c r="H30" s="48">
        <v>208400</v>
      </c>
      <c r="I30" s="48">
        <v>191700</v>
      </c>
      <c r="J30" s="48">
        <v>179200</v>
      </c>
      <c r="K30" s="265">
        <v>166600</v>
      </c>
      <c r="L30" s="265">
        <v>206400</v>
      </c>
      <c r="M30" s="265">
        <v>206509</v>
      </c>
      <c r="N30" s="265">
        <v>201590.73</v>
      </c>
      <c r="O30" s="287">
        <v>196008</v>
      </c>
      <c r="P30" s="287">
        <v>194427.96</v>
      </c>
      <c r="Q30" s="287">
        <v>187901.05499999999</v>
      </c>
      <c r="R30" s="287">
        <v>176815.45499999999</v>
      </c>
      <c r="S30" s="14"/>
    </row>
    <row r="31" spans="2:19">
      <c r="B31" s="46" t="s">
        <v>145</v>
      </c>
      <c r="C31" s="180"/>
      <c r="D31" s="180"/>
      <c r="E31" s="180"/>
      <c r="F31" s="180"/>
      <c r="G31" s="48"/>
      <c r="H31" s="48">
        <v>65940</v>
      </c>
      <c r="I31" s="48">
        <v>67931</v>
      </c>
      <c r="J31" s="48">
        <v>69983</v>
      </c>
      <c r="K31" s="265">
        <v>0</v>
      </c>
      <c r="L31" s="265"/>
      <c r="M31" s="265">
        <v>0</v>
      </c>
      <c r="N31" s="265">
        <v>0</v>
      </c>
      <c r="O31" s="344"/>
      <c r="P31" s="287"/>
      <c r="Q31" s="287"/>
      <c r="R31" s="287"/>
      <c r="S31" s="14"/>
    </row>
    <row r="32" spans="2:19">
      <c r="B32" s="46" t="s">
        <v>102</v>
      </c>
      <c r="C32" s="180">
        <v>73600</v>
      </c>
      <c r="D32" s="180">
        <v>44775</v>
      </c>
      <c r="E32" s="180">
        <v>33343</v>
      </c>
      <c r="F32" s="180">
        <v>37197</v>
      </c>
      <c r="G32" s="48">
        <v>33984</v>
      </c>
      <c r="H32" s="48">
        <v>25200</v>
      </c>
      <c r="I32" s="48">
        <v>26067</v>
      </c>
      <c r="J32" s="48">
        <v>20271</v>
      </c>
      <c r="K32" s="265">
        <v>20523</v>
      </c>
      <c r="L32" s="265">
        <v>45791</v>
      </c>
      <c r="M32" s="265">
        <v>44188.279000000002</v>
      </c>
      <c r="N32" s="265">
        <v>54596.770426190495</v>
      </c>
      <c r="O32" s="287">
        <v>49217.660114781997</v>
      </c>
      <c r="P32" s="287">
        <v>41318.149680000002</v>
      </c>
      <c r="Q32" s="287">
        <v>39541.373632547344</v>
      </c>
      <c r="R32" s="287">
        <v>39722.289581343815</v>
      </c>
      <c r="S32" s="14"/>
    </row>
    <row r="33" spans="1:19">
      <c r="B33" s="46" t="s">
        <v>58</v>
      </c>
      <c r="C33" s="180">
        <v>0</v>
      </c>
      <c r="D33" s="180">
        <v>0</v>
      </c>
      <c r="E33" s="180">
        <v>0</v>
      </c>
      <c r="F33" s="180">
        <v>0</v>
      </c>
      <c r="G33" s="48">
        <v>0</v>
      </c>
      <c r="H33" s="48">
        <v>0</v>
      </c>
      <c r="I33" s="48"/>
      <c r="J33" s="48">
        <v>0</v>
      </c>
      <c r="K33" s="265">
        <v>0</v>
      </c>
      <c r="L33" s="265"/>
      <c r="M33" s="265"/>
      <c r="N33" s="265"/>
      <c r="O33" s="287"/>
      <c r="P33" s="287"/>
      <c r="Q33" s="287"/>
      <c r="R33" s="287"/>
      <c r="S33" s="14"/>
    </row>
    <row r="34" spans="1:19">
      <c r="B34" s="46" t="s">
        <v>103</v>
      </c>
      <c r="C34" s="180">
        <v>3134</v>
      </c>
      <c r="D34" s="180">
        <v>6220</v>
      </c>
      <c r="E34" s="180">
        <v>9348</v>
      </c>
      <c r="F34" s="180">
        <v>0</v>
      </c>
      <c r="G34" s="48">
        <v>0</v>
      </c>
      <c r="H34" s="48">
        <v>0</v>
      </c>
      <c r="I34" s="48"/>
      <c r="J34" s="48">
        <v>0</v>
      </c>
      <c r="K34" s="265">
        <v>0</v>
      </c>
      <c r="L34" s="265"/>
      <c r="M34" s="265"/>
      <c r="N34" s="265"/>
      <c r="O34" s="287"/>
      <c r="P34" s="287"/>
      <c r="Q34" s="287"/>
      <c r="R34" s="287"/>
      <c r="S34" s="14"/>
    </row>
    <row r="35" spans="1:19">
      <c r="B35" s="54" t="s">
        <v>59</v>
      </c>
      <c r="C35" s="181">
        <f t="shared" ref="C35" si="12">SUM(C30:C34)</f>
        <v>257734</v>
      </c>
      <c r="D35" s="181">
        <f t="shared" ref="D35" si="13">SUM(D30:D34)</f>
        <v>239495</v>
      </c>
      <c r="E35" s="181">
        <f t="shared" ref="E35" si="14">SUM(E30:E34)</f>
        <v>235191</v>
      </c>
      <c r="F35" s="181">
        <f t="shared" ref="F35:N35" si="15">SUM(F30:F34)</f>
        <v>197197</v>
      </c>
      <c r="G35" s="56">
        <f t="shared" si="15"/>
        <v>177984</v>
      </c>
      <c r="H35" s="56">
        <f t="shared" si="15"/>
        <v>299540</v>
      </c>
      <c r="I35" s="56">
        <f t="shared" si="15"/>
        <v>285698</v>
      </c>
      <c r="J35" s="56">
        <f t="shared" si="15"/>
        <v>269454</v>
      </c>
      <c r="K35" s="261">
        <f t="shared" si="15"/>
        <v>187123</v>
      </c>
      <c r="L35" s="261">
        <f t="shared" si="15"/>
        <v>252191</v>
      </c>
      <c r="M35" s="261">
        <f t="shared" si="15"/>
        <v>250697.27900000001</v>
      </c>
      <c r="N35" s="261">
        <f t="shared" si="15"/>
        <v>256187.5004261905</v>
      </c>
      <c r="O35" s="283">
        <f t="shared" ref="O35:R35" si="16">SUM(O30:O34)</f>
        <v>245225.66011478199</v>
      </c>
      <c r="P35" s="283">
        <f t="shared" si="16"/>
        <v>235746.10967999999</v>
      </c>
      <c r="Q35" s="283">
        <f t="shared" si="16"/>
        <v>227442.42863254732</v>
      </c>
      <c r="R35" s="283">
        <f t="shared" si="16"/>
        <v>216537.74458134381</v>
      </c>
      <c r="S35" s="14"/>
    </row>
    <row r="36" spans="1:19">
      <c r="B36" s="104"/>
      <c r="C36" s="195"/>
      <c r="D36" s="195"/>
      <c r="E36" s="195"/>
      <c r="F36" s="195"/>
      <c r="G36" s="63"/>
      <c r="H36" s="44"/>
      <c r="I36" s="63"/>
      <c r="J36" s="44"/>
      <c r="K36" s="262"/>
      <c r="L36" s="271"/>
      <c r="M36" s="262"/>
      <c r="N36" s="271"/>
      <c r="O36" s="284"/>
      <c r="P36" s="292"/>
      <c r="Q36" s="284"/>
      <c r="R36" s="292"/>
      <c r="S36" s="14"/>
    </row>
    <row r="37" spans="1:19">
      <c r="B37" s="94" t="s">
        <v>104</v>
      </c>
      <c r="C37" s="185">
        <v>74285</v>
      </c>
      <c r="D37" s="185">
        <v>88554</v>
      </c>
      <c r="E37" s="185">
        <v>65306</v>
      </c>
      <c r="F37" s="185">
        <v>72022</v>
      </c>
      <c r="G37" s="76">
        <v>123086</v>
      </c>
      <c r="H37" s="77">
        <v>46100</v>
      </c>
      <c r="I37" s="76">
        <v>54300</v>
      </c>
      <c r="J37" s="77">
        <v>54300</v>
      </c>
      <c r="K37" s="323">
        <v>67411</v>
      </c>
      <c r="L37" s="324">
        <v>18600</v>
      </c>
      <c r="M37" s="323">
        <v>19010.509999999998</v>
      </c>
      <c r="N37" s="324">
        <v>18969.099999999999</v>
      </c>
      <c r="O37" s="335">
        <v>19097</v>
      </c>
      <c r="P37" s="336">
        <v>35500.319000000003</v>
      </c>
      <c r="Q37" s="335">
        <v>53243.576220000017</v>
      </c>
      <c r="R37" s="336">
        <v>56672.787720000015</v>
      </c>
      <c r="S37" s="14"/>
    </row>
    <row r="38" spans="1:19">
      <c r="B38" s="94" t="s">
        <v>105</v>
      </c>
      <c r="C38" s="180">
        <v>15290</v>
      </c>
      <c r="D38" s="180">
        <v>26742</v>
      </c>
      <c r="E38" s="180">
        <v>38560</v>
      </c>
      <c r="F38" s="180">
        <v>4253</v>
      </c>
      <c r="G38" s="78">
        <v>11587</v>
      </c>
      <c r="H38" s="48">
        <v>12511.965</v>
      </c>
      <c r="I38" s="78">
        <v>9894</v>
      </c>
      <c r="J38" s="48">
        <v>11050</v>
      </c>
      <c r="K38" s="264">
        <v>23082</v>
      </c>
      <c r="L38" s="265">
        <v>24022.066226506988</v>
      </c>
      <c r="M38" s="264">
        <v>31128.564715642795</v>
      </c>
      <c r="N38" s="265">
        <v>25994.661276684987</v>
      </c>
      <c r="O38" s="286">
        <v>60229.536365257001</v>
      </c>
      <c r="P38" s="287">
        <v>67615.574063186999</v>
      </c>
      <c r="Q38" s="286">
        <v>72568.895516923993</v>
      </c>
      <c r="R38" s="287">
        <v>89432.781642486996</v>
      </c>
      <c r="S38" s="18"/>
    </row>
    <row r="39" spans="1:19">
      <c r="B39" s="94" t="s">
        <v>60</v>
      </c>
      <c r="C39" s="185">
        <v>80154</v>
      </c>
      <c r="D39" s="185">
        <v>76877</v>
      </c>
      <c r="E39" s="185">
        <v>101374</v>
      </c>
      <c r="F39" s="185">
        <v>117609</v>
      </c>
      <c r="G39" s="76">
        <v>86655</v>
      </c>
      <c r="H39" s="77">
        <v>49015.648999999998</v>
      </c>
      <c r="I39" s="76">
        <v>44774</v>
      </c>
      <c r="J39" s="77">
        <v>58220</v>
      </c>
      <c r="K39" s="323">
        <v>57128</v>
      </c>
      <c r="L39" s="324">
        <v>71125.233332873409</v>
      </c>
      <c r="M39" s="323">
        <v>73416.774765242284</v>
      </c>
      <c r="N39" s="324">
        <v>78184.981293386736</v>
      </c>
      <c r="O39" s="335">
        <v>75700.153782012276</v>
      </c>
      <c r="P39" s="336">
        <v>60983.901583157305</v>
      </c>
      <c r="Q39" s="335">
        <v>62597.236980478796</v>
      </c>
      <c r="R39" s="336">
        <v>101866.68600051137</v>
      </c>
      <c r="S39" s="14"/>
    </row>
    <row r="40" spans="1:19">
      <c r="B40" s="94" t="s">
        <v>106</v>
      </c>
      <c r="C40" s="185">
        <v>1086</v>
      </c>
      <c r="D40" s="185">
        <v>2317</v>
      </c>
      <c r="E40" s="185">
        <v>2152</v>
      </c>
      <c r="F40" s="185">
        <v>3531</v>
      </c>
      <c r="G40" s="76">
        <v>593</v>
      </c>
      <c r="H40" s="77">
        <v>1434</v>
      </c>
      <c r="I40" s="76">
        <v>926</v>
      </c>
      <c r="J40" s="77">
        <v>1744</v>
      </c>
      <c r="K40" s="323">
        <v>4171</v>
      </c>
      <c r="L40" s="324">
        <v>6999.3007781240713</v>
      </c>
      <c r="M40" s="323">
        <v>9888.6609923174165</v>
      </c>
      <c r="N40" s="324">
        <v>476.40399595825932</v>
      </c>
      <c r="O40" s="335">
        <v>147.83516939970107</v>
      </c>
      <c r="P40" s="336">
        <v>5741.6342007413932</v>
      </c>
      <c r="Q40" s="335">
        <v>3043.9184814543705</v>
      </c>
      <c r="R40" s="336">
        <v>975</v>
      </c>
      <c r="S40" s="14"/>
    </row>
    <row r="41" spans="1:19">
      <c r="B41" s="94" t="s">
        <v>61</v>
      </c>
      <c r="C41" s="196">
        <v>12768</v>
      </c>
      <c r="D41" s="196">
        <v>16767</v>
      </c>
      <c r="E41" s="196">
        <v>21284</v>
      </c>
      <c r="F41" s="180">
        <v>20167</v>
      </c>
      <c r="G41" s="78">
        <v>18204</v>
      </c>
      <c r="H41" s="48">
        <v>14876.696</v>
      </c>
      <c r="I41" s="78">
        <v>11119</v>
      </c>
      <c r="J41" s="48">
        <v>14118</v>
      </c>
      <c r="K41" s="264">
        <v>11117</v>
      </c>
      <c r="L41" s="265">
        <v>12872.60002336246</v>
      </c>
      <c r="M41" s="264">
        <v>9660.0016701675941</v>
      </c>
      <c r="N41" s="265">
        <v>17511.883805334855</v>
      </c>
      <c r="O41" s="286">
        <v>16543.438739095815</v>
      </c>
      <c r="P41" s="287">
        <v>8050.7990826001378</v>
      </c>
      <c r="Q41" s="286">
        <v>9885.1013336169763</v>
      </c>
      <c r="R41" s="287">
        <v>17283.533774909087</v>
      </c>
      <c r="S41" s="14"/>
    </row>
    <row r="42" spans="1:19">
      <c r="B42" s="94" t="s">
        <v>107</v>
      </c>
      <c r="C42" s="196">
        <v>90786</v>
      </c>
      <c r="D42" s="196">
        <v>69762</v>
      </c>
      <c r="E42" s="196">
        <v>61332</v>
      </c>
      <c r="F42" s="196">
        <v>54414</v>
      </c>
      <c r="G42" s="82">
        <v>57691</v>
      </c>
      <c r="H42" s="83">
        <v>20185.802</v>
      </c>
      <c r="I42" s="82">
        <v>21527</v>
      </c>
      <c r="J42" s="83">
        <v>20110</v>
      </c>
      <c r="K42" s="274">
        <v>21362</v>
      </c>
      <c r="L42" s="275">
        <v>19419.339459999999</v>
      </c>
      <c r="M42" s="274">
        <v>16144.52</v>
      </c>
      <c r="N42" s="275">
        <v>14020.460730000001</v>
      </c>
      <c r="O42" s="295">
        <v>12913.467000000001</v>
      </c>
      <c r="P42" s="296">
        <v>16755.639090000001</v>
      </c>
      <c r="Q42" s="295">
        <v>19114.704446729964</v>
      </c>
      <c r="R42" s="296">
        <v>21947.077997161439</v>
      </c>
      <c r="S42" s="14"/>
    </row>
    <row r="43" spans="1:19">
      <c r="B43" s="94" t="s">
        <v>108</v>
      </c>
      <c r="C43" s="196">
        <v>68074</v>
      </c>
      <c r="D43" s="196">
        <v>57330</v>
      </c>
      <c r="E43" s="196">
        <v>59776</v>
      </c>
      <c r="F43" s="196">
        <v>56473</v>
      </c>
      <c r="G43" s="82">
        <v>52198</v>
      </c>
      <c r="H43" s="83">
        <v>69181.074999999997</v>
      </c>
      <c r="I43" s="82">
        <v>69378</v>
      </c>
      <c r="J43" s="83">
        <v>78674</v>
      </c>
      <c r="K43" s="274">
        <v>82800</v>
      </c>
      <c r="L43" s="275">
        <v>104961.59387093851</v>
      </c>
      <c r="M43" s="274">
        <v>82577.257417640431</v>
      </c>
      <c r="N43" s="275">
        <v>88666.556986103329</v>
      </c>
      <c r="O43" s="295">
        <v>68858.507844275038</v>
      </c>
      <c r="P43" s="296">
        <v>78349.912438627609</v>
      </c>
      <c r="Q43" s="295">
        <v>85293.097254764027</v>
      </c>
      <c r="R43" s="296">
        <v>85592</v>
      </c>
      <c r="S43" s="14"/>
    </row>
    <row r="44" spans="1:19">
      <c r="B44" s="105" t="s">
        <v>63</v>
      </c>
      <c r="C44" s="197">
        <v>0</v>
      </c>
      <c r="D44" s="197">
        <v>0</v>
      </c>
      <c r="E44" s="197">
        <v>0</v>
      </c>
      <c r="F44" s="197"/>
      <c r="G44" s="82">
        <v>26879</v>
      </c>
      <c r="H44" s="83">
        <v>17591.985999999997</v>
      </c>
      <c r="I44" s="82">
        <v>29142</v>
      </c>
      <c r="J44" s="83">
        <v>27157</v>
      </c>
      <c r="K44" s="274">
        <v>0</v>
      </c>
      <c r="L44" s="275"/>
      <c r="M44" s="274"/>
      <c r="N44" s="275"/>
      <c r="O44" s="295">
        <v>0</v>
      </c>
      <c r="P44" s="296"/>
      <c r="Q44" s="295"/>
      <c r="R44" s="296"/>
      <c r="S44" s="14"/>
    </row>
    <row r="45" spans="1:19">
      <c r="B45" s="54" t="s">
        <v>62</v>
      </c>
      <c r="C45" s="181">
        <f>SUM(C37:C44)</f>
        <v>342443</v>
      </c>
      <c r="D45" s="181">
        <f t="shared" ref="D45:F45" si="17">SUM(D37:D44)</f>
        <v>338349</v>
      </c>
      <c r="E45" s="181">
        <f t="shared" si="17"/>
        <v>349784</v>
      </c>
      <c r="F45" s="181">
        <f t="shared" si="17"/>
        <v>328469</v>
      </c>
      <c r="G45" s="56">
        <f t="shared" ref="G45:J45" si="18">SUM(G37:G44)</f>
        <v>376893</v>
      </c>
      <c r="H45" s="56">
        <f t="shared" si="18"/>
        <v>230897.17299999998</v>
      </c>
      <c r="I45" s="56">
        <f t="shared" si="18"/>
        <v>241060</v>
      </c>
      <c r="J45" s="56">
        <f t="shared" si="18"/>
        <v>265373</v>
      </c>
      <c r="K45" s="261">
        <f t="shared" ref="K45:N45" si="19">SUM(K37:K44)</f>
        <v>267071</v>
      </c>
      <c r="L45" s="261">
        <f t="shared" si="19"/>
        <v>258000.13369180541</v>
      </c>
      <c r="M45" s="261">
        <f t="shared" si="19"/>
        <v>241826.28956101055</v>
      </c>
      <c r="N45" s="261">
        <f t="shared" si="19"/>
        <v>243824.04808746814</v>
      </c>
      <c r="O45" s="283">
        <f t="shared" ref="O45:R45" si="20">SUM(O37:O44)</f>
        <v>253489.93890003985</v>
      </c>
      <c r="P45" s="283">
        <f t="shared" si="20"/>
        <v>272997.77945831348</v>
      </c>
      <c r="Q45" s="283">
        <f t="shared" si="20"/>
        <v>305746.53023396817</v>
      </c>
      <c r="R45" s="283">
        <f t="shared" si="20"/>
        <v>373769.86713506887</v>
      </c>
      <c r="S45" s="14"/>
    </row>
    <row r="46" spans="1:19">
      <c r="B46" s="94"/>
      <c r="C46" s="190"/>
      <c r="D46" s="196"/>
      <c r="E46" s="190"/>
      <c r="F46" s="198"/>
      <c r="G46" s="82"/>
      <c r="H46" s="83"/>
      <c r="I46" s="82"/>
      <c r="J46" s="83"/>
      <c r="K46" s="274"/>
      <c r="L46" s="275"/>
      <c r="M46" s="274"/>
      <c r="N46" s="275"/>
      <c r="O46" s="295"/>
      <c r="P46" s="296"/>
      <c r="Q46" s="295"/>
      <c r="R46" s="296"/>
      <c r="S46" s="14"/>
    </row>
    <row r="47" spans="1:19" ht="13.3" thickBot="1">
      <c r="B47" s="107" t="s">
        <v>64</v>
      </c>
      <c r="C47" s="199">
        <f t="shared" ref="C47:F47" si="21">C28+C35+C45</f>
        <v>978460</v>
      </c>
      <c r="D47" s="200">
        <f t="shared" si="21"/>
        <v>946796</v>
      </c>
      <c r="E47" s="199">
        <f t="shared" si="21"/>
        <v>993781</v>
      </c>
      <c r="F47" s="201">
        <f t="shared" si="21"/>
        <v>883168</v>
      </c>
      <c r="G47" s="120">
        <f t="shared" ref="G47:J47" si="22">G28+G35+G45</f>
        <v>965232</v>
      </c>
      <c r="H47" s="121">
        <f t="shared" si="22"/>
        <v>917863.17299999995</v>
      </c>
      <c r="I47" s="121">
        <f>I28+I35+I45</f>
        <v>914895</v>
      </c>
      <c r="J47" s="121">
        <f t="shared" si="22"/>
        <v>846271</v>
      </c>
      <c r="K47" s="325">
        <f t="shared" ref="K47:L47" si="23">K28+K35+K45</f>
        <v>824355</v>
      </c>
      <c r="L47" s="326">
        <f t="shared" si="23"/>
        <v>903224.76570553496</v>
      </c>
      <c r="M47" s="326">
        <f>M28+M35+M45</f>
        <v>906435.87907438923</v>
      </c>
      <c r="N47" s="326">
        <f t="shared" ref="N47:P47" si="24">N28+N35+N45</f>
        <v>947765.07575498184</v>
      </c>
      <c r="O47" s="337">
        <f t="shared" si="24"/>
        <v>930351.24394944741</v>
      </c>
      <c r="P47" s="338">
        <f t="shared" si="24"/>
        <v>972618.72988213261</v>
      </c>
      <c r="Q47" s="338">
        <f>Q28+Q35+Q45</f>
        <v>1069174.4421094395</v>
      </c>
      <c r="R47" s="338">
        <f t="shared" ref="R47" si="25">R28+R35+R45</f>
        <v>1083338.6590803727</v>
      </c>
      <c r="S47" s="14"/>
    </row>
    <row r="48" spans="1:19" ht="13.3" thickTop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2:19">
      <c r="B49" s="108" t="s">
        <v>65</v>
      </c>
      <c r="C49" s="202">
        <f t="shared" ref="C49:F49" si="26">C28/C47</f>
        <v>0.38661059215501914</v>
      </c>
      <c r="D49" s="202">
        <f>D28/D47</f>
        <v>0.38968478954283708</v>
      </c>
      <c r="E49" s="202">
        <f t="shared" si="26"/>
        <v>0.41136427442263435</v>
      </c>
      <c r="F49" s="202">
        <f t="shared" si="26"/>
        <v>0.40479501068879309</v>
      </c>
      <c r="G49" s="84">
        <f t="shared" ref="G49:J49" si="27">G28/G47</f>
        <v>0.42513613307474263</v>
      </c>
      <c r="H49" s="84">
        <f t="shared" si="27"/>
        <v>0.42209559267283081</v>
      </c>
      <c r="I49" s="385">
        <f t="shared" si="27"/>
        <v>0.42424212614562329</v>
      </c>
      <c r="J49" s="84">
        <f t="shared" si="27"/>
        <v>0.36801922788326669</v>
      </c>
      <c r="K49" s="327">
        <f>K28/K47</f>
        <v>0.44903106064741527</v>
      </c>
      <c r="L49" s="327">
        <f t="shared" ref="L49:N49" si="28">L28/L47</f>
        <v>0.43514487969859816</v>
      </c>
      <c r="M49" s="327">
        <f t="shared" si="28"/>
        <v>0.45663716548383654</v>
      </c>
      <c r="N49" s="327">
        <f t="shared" si="28"/>
        <v>0.47243092058931002</v>
      </c>
      <c r="O49" s="339">
        <f>O28/O47</f>
        <v>0.46394912431382673</v>
      </c>
      <c r="P49" s="339">
        <f t="shared" ref="P49:Q49" si="29">P28/P47</f>
        <v>0.47693389659484975</v>
      </c>
      <c r="Q49" s="339">
        <f t="shared" si="29"/>
        <v>0.50130779612113197</v>
      </c>
      <c r="R49" s="390">
        <f>IFERROR(R28/R47,0)</f>
        <v>0.45510334486030946</v>
      </c>
      <c r="S49" s="14"/>
    </row>
    <row r="50" spans="2:19">
      <c r="B50" s="109" t="s">
        <v>85</v>
      </c>
      <c r="C50" s="203">
        <v>68540</v>
      </c>
      <c r="D50" s="203">
        <v>48280</v>
      </c>
      <c r="E50" s="203">
        <v>41828</v>
      </c>
      <c r="F50" s="203">
        <v>32651</v>
      </c>
      <c r="G50" s="124">
        <v>36322</v>
      </c>
      <c r="H50" s="124">
        <v>0</v>
      </c>
      <c r="I50" s="386">
        <v>0</v>
      </c>
      <c r="J50" s="124">
        <v>0</v>
      </c>
      <c r="K50" s="328">
        <v>0</v>
      </c>
      <c r="L50" s="328">
        <v>0</v>
      </c>
      <c r="M50" s="328">
        <v>0</v>
      </c>
      <c r="N50" s="328">
        <v>0</v>
      </c>
      <c r="O50" s="340">
        <v>0</v>
      </c>
      <c r="P50" s="340">
        <v>0</v>
      </c>
      <c r="Q50" s="340">
        <v>0</v>
      </c>
      <c r="R50" s="391">
        <v>0</v>
      </c>
      <c r="S50" s="14"/>
    </row>
    <row r="51" spans="2:19" ht="23.6">
      <c r="B51" s="125" t="s">
        <v>86</v>
      </c>
      <c r="C51" s="203">
        <f>SUM(C19-C18-C17)-SUM(C45-C44-C37)+C50</f>
        <v>120458</v>
      </c>
      <c r="D51" s="203">
        <f>SUM(D19-D18-D17)-SUM(D45-D44-D37)+D50</f>
        <v>183288</v>
      </c>
      <c r="E51" s="203">
        <f>SUM(E19-E18-E17)-SUM(E45-E44-E37)+E50</f>
        <v>172081</v>
      </c>
      <c r="F51" s="203">
        <f>SUM(F19-F18-F17)-SUM(F45-F44-F37)+F50</f>
        <v>134075</v>
      </c>
      <c r="G51" s="122">
        <v>242674</v>
      </c>
      <c r="H51" s="122">
        <f t="shared" ref="H51:N51" si="30">SUM(H19-H17)-SUM(H45-H37)+H50</f>
        <v>196837.111</v>
      </c>
      <c r="I51" s="387">
        <f t="shared" si="30"/>
        <v>194728</v>
      </c>
      <c r="J51" s="122">
        <f t="shared" si="30"/>
        <v>146239</v>
      </c>
      <c r="K51" s="329">
        <f t="shared" si="30"/>
        <v>122445</v>
      </c>
      <c r="L51" s="329">
        <f t="shared" si="30"/>
        <v>127012.76093364094</v>
      </c>
      <c r="M51" s="329">
        <f t="shared" si="30"/>
        <v>124287.8358969845</v>
      </c>
      <c r="N51" s="329">
        <f t="shared" si="30"/>
        <v>121100.07914643493</v>
      </c>
      <c r="O51" s="341">
        <f t="shared" ref="O51:R51" si="31">SUM(O19-O17)-SUM(O45-O37)+O50</f>
        <v>87611.754459411284</v>
      </c>
      <c r="P51" s="341">
        <f t="shared" si="31"/>
        <v>104659.92863335839</v>
      </c>
      <c r="Q51" s="341">
        <f t="shared" si="31"/>
        <v>158129.42038452995</v>
      </c>
      <c r="R51" s="389">
        <f t="shared" si="31"/>
        <v>108784.27430114837</v>
      </c>
      <c r="S51" s="14"/>
    </row>
    <row r="52" spans="2:19">
      <c r="B52" s="109" t="s">
        <v>66</v>
      </c>
      <c r="C52" s="203">
        <f t="shared" ref="C52:F52" si="32">C37+C30-C17</f>
        <v>153121</v>
      </c>
      <c r="D52" s="203">
        <f t="shared" si="32"/>
        <v>252202</v>
      </c>
      <c r="E52" s="203">
        <f t="shared" si="32"/>
        <v>225933</v>
      </c>
      <c r="F52" s="203">
        <f t="shared" si="32"/>
        <v>200971</v>
      </c>
      <c r="G52" s="122">
        <f>G37+G31+G30-G17</f>
        <v>224535</v>
      </c>
      <c r="H52" s="122">
        <f t="shared" ref="H52:J52" si="33">H37+H31+H30-H17</f>
        <v>244293</v>
      </c>
      <c r="I52" s="387">
        <f t="shared" si="33"/>
        <v>232651</v>
      </c>
      <c r="J52" s="122">
        <f t="shared" si="33"/>
        <v>228522</v>
      </c>
      <c r="K52" s="329">
        <f>K37+K31+K30-K17</f>
        <v>181066</v>
      </c>
      <c r="L52" s="329">
        <f t="shared" ref="L52:N52" si="34">L37+L31+L30-L17</f>
        <v>163394.08155750768</v>
      </c>
      <c r="M52" s="329">
        <f t="shared" si="34"/>
        <v>141371.21625133982</v>
      </c>
      <c r="N52" s="329">
        <f t="shared" si="34"/>
        <v>138544.77355462482</v>
      </c>
      <c r="O52" s="341">
        <f>O37+O32+O30-O17</f>
        <v>172421.53792581742</v>
      </c>
      <c r="P52" s="341">
        <f t="shared" ref="P52:R52" si="35">P37+P31+P30-P17</f>
        <v>157095.69418522343</v>
      </c>
      <c r="Q52" s="341">
        <f t="shared" si="35"/>
        <v>184620.91125075982</v>
      </c>
      <c r="R52" s="342">
        <f t="shared" si="35"/>
        <v>157105.74273665622</v>
      </c>
      <c r="S52" s="14"/>
    </row>
    <row r="53" spans="2:19">
      <c r="B53" s="105"/>
      <c r="C53" s="182"/>
      <c r="D53" s="182"/>
      <c r="E53" s="182"/>
      <c r="F53" s="182"/>
      <c r="G53" s="75"/>
      <c r="H53" s="75"/>
      <c r="I53" s="388"/>
      <c r="J53" s="75"/>
      <c r="K53" s="330"/>
      <c r="L53" s="330"/>
      <c r="M53" s="330"/>
      <c r="N53" s="330"/>
      <c r="O53" s="343"/>
      <c r="P53" s="343"/>
      <c r="Q53" s="343"/>
      <c r="R53" s="392"/>
      <c r="S53" s="14"/>
    </row>
    <row r="54" spans="2:19" ht="33" customHeight="1">
      <c r="B54" s="415" t="s">
        <v>22</v>
      </c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</row>
    <row r="56" spans="2:19"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</row>
  </sheetData>
  <mergeCells count="5">
    <mergeCell ref="B54:S54"/>
    <mergeCell ref="C3:F3"/>
    <mergeCell ref="G3:J3"/>
    <mergeCell ref="K3:N3"/>
    <mergeCell ref="O3:R3"/>
  </mergeCells>
  <pageMargins left="0.7" right="0.7" top="0.75" bottom="0.75" header="0.3" footer="0.3"/>
  <pageSetup paperSize="9" scale="55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NumberChecks</vt:lpstr>
      <vt:lpstr>Sheet4</vt:lpstr>
      <vt:lpstr>Tolling</vt:lpstr>
      <vt:lpstr>Traffic Management</vt:lpstr>
      <vt:lpstr>Assets held for sale</vt:lpstr>
      <vt:lpstr>Sheet5</vt:lpstr>
      <vt:lpstr>Global Functions</vt:lpstr>
      <vt:lpstr>P &amp; L</vt:lpstr>
      <vt:lpstr>Balance Sheet</vt:lpstr>
      <vt:lpstr>CashFlow</vt:lpstr>
      <vt:lpstr>Financial items</vt:lpstr>
      <vt:lpstr>Depreciation &amp; amortisation</vt:lpstr>
      <vt:lpstr>'Assets held for sale'!Print_Area</vt:lpstr>
      <vt:lpstr>'Balance Sheet'!Print_Area</vt:lpstr>
      <vt:lpstr>CashFlow!Print_Area</vt:lpstr>
      <vt:lpstr>'Depreciation &amp; amortisation'!Print_Area</vt:lpstr>
      <vt:lpstr>'Financial items'!Print_Area</vt:lpstr>
      <vt:lpstr>'Global Functions'!Print_Area</vt:lpstr>
      <vt:lpstr>NumberChecks!Print_Area</vt:lpstr>
      <vt:lpstr>'P &amp; L'!Print_Area</vt:lpstr>
      <vt:lpstr>Tolling!Print_Area</vt:lpstr>
      <vt:lpstr>'Traffic Management'!Print_Area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Kleven</dc:creator>
  <cp:lastModifiedBy>Rotsy Raoelijaona</cp:lastModifiedBy>
  <cp:lastPrinted>2019-07-11T07:45:24Z</cp:lastPrinted>
  <dcterms:created xsi:type="dcterms:W3CDTF">2018-04-24T12:10:08Z</dcterms:created>
  <dcterms:modified xsi:type="dcterms:W3CDTF">2023-02-14T14:21:55Z</dcterms:modified>
</cp:coreProperties>
</file>