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Egnyte\Private\tork\"/>
    </mc:Choice>
  </mc:AlternateContent>
  <xr:revisionPtr revIDLastSave="0" documentId="8_{B8E3D2DB-3A2E-4786-AD59-9641620F984E}" xr6:coauthVersionLast="31" xr6:coauthVersionMax="31" xr10:uidLastSave="{00000000-0000-0000-0000-000000000000}"/>
  <bookViews>
    <workbookView xWindow="0" yWindow="0" windowWidth="19200" windowHeight="6220" firstSheet="2" activeTab="9" xr2:uid="{00000000-000D-0000-FFFF-FFFF00000000}"/>
  </bookViews>
  <sheets>
    <sheet name="NumberChecks" sheetId="15" state="hidden" r:id="rId1"/>
    <sheet name="Sheet4" sheetId="18" state="hidden" r:id="rId2"/>
    <sheet name="Tolling" sheetId="1" r:id="rId3"/>
    <sheet name="Parking" sheetId="2" r:id="rId4"/>
    <sheet name="Infomobility" sheetId="3" r:id="rId5"/>
    <sheet name="Urban" sheetId="4" r:id="rId6"/>
    <sheet name="Inter-Urban" sheetId="5" r:id="rId7"/>
    <sheet name="Global functions" sheetId="20" r:id="rId8"/>
    <sheet name="Sheet5" sheetId="19" state="hidden" r:id="rId9"/>
    <sheet name="P &amp; L" sheetId="7" r:id="rId10"/>
    <sheet name="Balance" sheetId="21" r:id="rId11"/>
    <sheet name="CashFlow" sheetId="22" r:id="rId12"/>
    <sheet name="Financial items" sheetId="13" r:id="rId13"/>
    <sheet name="Reclassification" sheetId="12" r:id="rId14"/>
  </sheets>
  <definedNames>
    <definedName name="_xlnm.Print_Area" localSheetId="10">Balance!$B$2:$S$54</definedName>
    <definedName name="_xlnm.Print_Area" localSheetId="11">CashFlow!$B$2:$S$44</definedName>
    <definedName name="_xlnm.Print_Area" localSheetId="12">'Financial items'!$B$2:$S$15</definedName>
    <definedName name="_xlnm.Print_Area" localSheetId="7">'Global functions'!$B$2:$S$27</definedName>
    <definedName name="_xlnm.Print_Area" localSheetId="4">Infomobility!$B$2:$S$27</definedName>
    <definedName name="_xlnm.Print_Area" localSheetId="6">'Inter-Urban'!$B$2:$S$27</definedName>
    <definedName name="_xlnm.Print_Area" localSheetId="0">NumberChecks!$B$2:$AQ$27</definedName>
    <definedName name="_xlnm.Print_Area" localSheetId="9">'P &amp; L'!$B$2:$S$44</definedName>
    <definedName name="_xlnm.Print_Area" localSheetId="3">Parking!$B$2:$S$27</definedName>
    <definedName name="_xlnm.Print_Area" localSheetId="13">Reclassification!$B$2:$S$16</definedName>
    <definedName name="_xlnm.Print_Area" localSheetId="2">Tolling!$B$2:$S$27</definedName>
    <definedName name="_xlnm.Print_Area" localSheetId="5">Urban!$B$2:$S$27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1" i="21" l="1"/>
  <c r="O52" i="21"/>
  <c r="K5" i="3" l="1"/>
  <c r="N21" i="22"/>
  <c r="M21" i="22"/>
  <c r="L21" i="22"/>
  <c r="C18" i="22" l="1"/>
  <c r="J18" i="22" l="1"/>
  <c r="I18" i="22"/>
  <c r="H18" i="22"/>
  <c r="G18" i="22"/>
  <c r="F18" i="22"/>
  <c r="E18" i="22"/>
  <c r="D18" i="22"/>
  <c r="N18" i="22"/>
  <c r="M18" i="22"/>
  <c r="L18" i="22"/>
  <c r="K21" i="22"/>
  <c r="K18" i="22"/>
  <c r="C28" i="22" l="1"/>
  <c r="C22" i="22"/>
  <c r="R34" i="22"/>
  <c r="Q34" i="22"/>
  <c r="P34" i="22"/>
  <c r="O34" i="22"/>
  <c r="N34" i="22"/>
  <c r="M34" i="22"/>
  <c r="L34" i="22"/>
  <c r="K34" i="22"/>
  <c r="J34" i="22"/>
  <c r="I34" i="22"/>
  <c r="H34" i="22"/>
  <c r="G34" i="22"/>
  <c r="F34" i="22"/>
  <c r="E34" i="22"/>
  <c r="D34" i="22"/>
  <c r="C34" i="22"/>
  <c r="R28" i="22"/>
  <c r="Q28" i="22"/>
  <c r="P28" i="22"/>
  <c r="O28" i="22"/>
  <c r="O38" i="22" s="1"/>
  <c r="N28" i="22"/>
  <c r="M28" i="22"/>
  <c r="L28" i="22"/>
  <c r="K28" i="22"/>
  <c r="J28" i="22"/>
  <c r="I28" i="22"/>
  <c r="H28" i="22"/>
  <c r="G28" i="22"/>
  <c r="F28" i="22"/>
  <c r="E28" i="22"/>
  <c r="D28" i="22"/>
  <c r="R22" i="22"/>
  <c r="Q22" i="22"/>
  <c r="P22" i="22"/>
  <c r="O22" i="22"/>
  <c r="N22" i="22"/>
  <c r="M22" i="22"/>
  <c r="L22" i="22"/>
  <c r="L38" i="22" s="1"/>
  <c r="K22" i="22"/>
  <c r="J22" i="22"/>
  <c r="I22" i="22"/>
  <c r="H22" i="22"/>
  <c r="H38" i="22" s="1"/>
  <c r="G22" i="22"/>
  <c r="F22" i="22"/>
  <c r="E22" i="22"/>
  <c r="D22" i="22"/>
  <c r="D38" i="22" s="1"/>
  <c r="O20" i="4"/>
  <c r="O10" i="1"/>
  <c r="O10" i="15" s="1"/>
  <c r="Z10" i="15" s="1"/>
  <c r="O5" i="1"/>
  <c r="O8" i="1" s="1"/>
  <c r="O22" i="15"/>
  <c r="Z22" i="15" s="1"/>
  <c r="O21" i="15"/>
  <c r="Z21" i="15" s="1"/>
  <c r="O20" i="15"/>
  <c r="Z20" i="15" s="1"/>
  <c r="O15" i="15"/>
  <c r="Z15" i="15" s="1"/>
  <c r="AP15" i="15" s="1"/>
  <c r="O11" i="15"/>
  <c r="Z11" i="15" s="1"/>
  <c r="AP11" i="15" s="1"/>
  <c r="O7" i="15"/>
  <c r="Z7" i="15" s="1"/>
  <c r="O6" i="15"/>
  <c r="Z6" i="15" s="1"/>
  <c r="O5" i="15"/>
  <c r="AH20" i="15"/>
  <c r="AH15" i="15"/>
  <c r="AH11" i="15"/>
  <c r="AH10" i="15"/>
  <c r="AH8" i="15"/>
  <c r="R44" i="15"/>
  <c r="R65" i="15" s="1"/>
  <c r="Q44" i="15"/>
  <c r="Q65" i="15" s="1"/>
  <c r="P44" i="15"/>
  <c r="P65" i="15" s="1"/>
  <c r="O44" i="15"/>
  <c r="R43" i="15"/>
  <c r="R64" i="15" s="1"/>
  <c r="Q43" i="15"/>
  <c r="Q64" i="15" s="1"/>
  <c r="P43" i="15"/>
  <c r="P64" i="15" s="1"/>
  <c r="O43" i="15"/>
  <c r="R38" i="15"/>
  <c r="R59" i="15" s="1"/>
  <c r="Q38" i="15"/>
  <c r="Q59" i="15" s="1"/>
  <c r="P38" i="15"/>
  <c r="P59" i="15" s="1"/>
  <c r="O38" i="15"/>
  <c r="R34" i="15"/>
  <c r="R55" i="15" s="1"/>
  <c r="Q34" i="15"/>
  <c r="Q55" i="15" s="1"/>
  <c r="P34" i="15"/>
  <c r="P55" i="15" s="1"/>
  <c r="O34" i="15"/>
  <c r="O55" i="15" s="1"/>
  <c r="R33" i="15"/>
  <c r="R54" i="15" s="1"/>
  <c r="Q33" i="15"/>
  <c r="Q54" i="15" s="1"/>
  <c r="P33" i="15"/>
  <c r="P54" i="15" s="1"/>
  <c r="O33" i="15"/>
  <c r="R31" i="15"/>
  <c r="Q31" i="15"/>
  <c r="P31" i="15"/>
  <c r="O31" i="15"/>
  <c r="R8" i="1"/>
  <c r="R12" i="1" s="1"/>
  <c r="R17" i="1" s="1"/>
  <c r="Q8" i="1"/>
  <c r="Q12" i="1" s="1"/>
  <c r="P8" i="1"/>
  <c r="P12" i="1" s="1"/>
  <c r="R8" i="2"/>
  <c r="R12" i="2" s="1"/>
  <c r="Q8" i="2"/>
  <c r="Q12" i="2" s="1"/>
  <c r="P8" i="2"/>
  <c r="P12" i="2" s="1"/>
  <c r="O8" i="2"/>
  <c r="O12" i="2" s="1"/>
  <c r="R8" i="3"/>
  <c r="R12" i="3" s="1"/>
  <c r="Q8" i="3"/>
  <c r="Q12" i="3" s="1"/>
  <c r="P8" i="3"/>
  <c r="P12" i="3" s="1"/>
  <c r="O8" i="3"/>
  <c r="O12" i="3" s="1"/>
  <c r="R8" i="4"/>
  <c r="R12" i="4" s="1"/>
  <c r="Q8" i="4"/>
  <c r="Q12" i="4" s="1"/>
  <c r="P8" i="4"/>
  <c r="P12" i="4" s="1"/>
  <c r="O8" i="4"/>
  <c r="O12" i="4" s="1"/>
  <c r="R8" i="5"/>
  <c r="R12" i="5" s="1"/>
  <c r="Q8" i="5"/>
  <c r="Q12" i="5" s="1"/>
  <c r="P8" i="5"/>
  <c r="P12" i="5" s="1"/>
  <c r="O8" i="5"/>
  <c r="O12" i="5" s="1"/>
  <c r="R8" i="20"/>
  <c r="R12" i="20" s="1"/>
  <c r="Q8" i="20"/>
  <c r="Q12" i="20" s="1"/>
  <c r="P8" i="20"/>
  <c r="P12" i="20" s="1"/>
  <c r="O8" i="20"/>
  <c r="O12" i="20" s="1"/>
  <c r="R8" i="15"/>
  <c r="R12" i="15" s="1"/>
  <c r="Q8" i="15"/>
  <c r="Q12" i="15" s="1"/>
  <c r="P8" i="15"/>
  <c r="P12" i="15" s="1"/>
  <c r="E38" i="22" l="1"/>
  <c r="I38" i="22"/>
  <c r="M38" i="22"/>
  <c r="AP10" i="15"/>
  <c r="F38" i="22"/>
  <c r="J38" i="22"/>
  <c r="N38" i="22"/>
  <c r="C38" i="22"/>
  <c r="G38" i="22"/>
  <c r="K38" i="22"/>
  <c r="O59" i="15"/>
  <c r="C41" i="22"/>
  <c r="O65" i="15"/>
  <c r="O8" i="15"/>
  <c r="O12" i="15" s="1"/>
  <c r="O64" i="15"/>
  <c r="AP20" i="15"/>
  <c r="O12" i="1"/>
  <c r="O54" i="15"/>
  <c r="Z5" i="15"/>
  <c r="Z8" i="15" s="1"/>
  <c r="AH12" i="15"/>
  <c r="AH17" i="15" s="1"/>
  <c r="AH18" i="15" s="1"/>
  <c r="P52" i="15"/>
  <c r="Q52" i="15"/>
  <c r="R52" i="15"/>
  <c r="O52" i="15"/>
  <c r="O35" i="15"/>
  <c r="P35" i="15"/>
  <c r="Q35" i="15"/>
  <c r="R35" i="15"/>
  <c r="Q17" i="20"/>
  <c r="Q13" i="20"/>
  <c r="Q17" i="3"/>
  <c r="Q13" i="3"/>
  <c r="R24" i="1"/>
  <c r="R25" i="1" s="1"/>
  <c r="R18" i="1"/>
  <c r="Q17" i="15"/>
  <c r="Q13" i="15"/>
  <c r="R17" i="20"/>
  <c r="R13" i="20"/>
  <c r="R17" i="5"/>
  <c r="R13" i="5"/>
  <c r="R13" i="4"/>
  <c r="R17" i="4"/>
  <c r="R13" i="3"/>
  <c r="R17" i="3"/>
  <c r="R13" i="2"/>
  <c r="R17" i="2"/>
  <c r="O17" i="1"/>
  <c r="O13" i="1"/>
  <c r="Q17" i="5"/>
  <c r="Q13" i="5"/>
  <c r="Q17" i="2"/>
  <c r="Q13" i="2"/>
  <c r="R17" i="15"/>
  <c r="R13" i="15"/>
  <c r="O17" i="20"/>
  <c r="O13" i="20"/>
  <c r="O17" i="5"/>
  <c r="O13" i="5"/>
  <c r="O17" i="4"/>
  <c r="O13" i="4"/>
  <c r="O17" i="3"/>
  <c r="O13" i="3"/>
  <c r="O17" i="2"/>
  <c r="O13" i="2"/>
  <c r="P17" i="15"/>
  <c r="P13" i="15"/>
  <c r="Q17" i="4"/>
  <c r="Q13" i="4"/>
  <c r="Q17" i="1"/>
  <c r="Q13" i="1"/>
  <c r="P17" i="20"/>
  <c r="P13" i="20"/>
  <c r="P17" i="5"/>
  <c r="P13" i="5"/>
  <c r="P17" i="4"/>
  <c r="P13" i="4"/>
  <c r="P17" i="3"/>
  <c r="P13" i="3"/>
  <c r="P17" i="2"/>
  <c r="P13" i="2"/>
  <c r="P17" i="1"/>
  <c r="P13" i="1"/>
  <c r="R13" i="1"/>
  <c r="O17" i="15" l="1"/>
  <c r="O13" i="15"/>
  <c r="D39" i="22"/>
  <c r="D41" i="22" s="1"/>
  <c r="Z12" i="15"/>
  <c r="Z13" i="15" s="1"/>
  <c r="AP8" i="15"/>
  <c r="AP12" i="15" s="1"/>
  <c r="O24" i="15"/>
  <c r="O25" i="15" s="1"/>
  <c r="O18" i="15"/>
  <c r="AH13" i="15"/>
  <c r="AH24" i="15"/>
  <c r="AH25" i="15" s="1"/>
  <c r="Q56" i="15"/>
  <c r="Q40" i="15"/>
  <c r="Q36" i="15"/>
  <c r="R56" i="15"/>
  <c r="R40" i="15"/>
  <c r="R36" i="15"/>
  <c r="P56" i="15"/>
  <c r="P40" i="15"/>
  <c r="P36" i="15"/>
  <c r="O36" i="15"/>
  <c r="O40" i="15"/>
  <c r="O56" i="15"/>
  <c r="P18" i="1"/>
  <c r="P24" i="1"/>
  <c r="P25" i="1" s="1"/>
  <c r="P24" i="3"/>
  <c r="P25" i="3" s="1"/>
  <c r="P18" i="3"/>
  <c r="P24" i="5"/>
  <c r="P25" i="5" s="1"/>
  <c r="P18" i="5"/>
  <c r="Q24" i="4"/>
  <c r="Q25" i="4" s="1"/>
  <c r="Q18" i="4"/>
  <c r="O24" i="2"/>
  <c r="O25" i="2" s="1"/>
  <c r="O18" i="2"/>
  <c r="O24" i="4"/>
  <c r="O25" i="4" s="1"/>
  <c r="O18" i="4"/>
  <c r="O24" i="20"/>
  <c r="O25" i="20" s="1"/>
  <c r="O18" i="20"/>
  <c r="Q24" i="2"/>
  <c r="Q25" i="2" s="1"/>
  <c r="Q18" i="2"/>
  <c r="O18" i="1"/>
  <c r="O24" i="1"/>
  <c r="O25" i="1" s="1"/>
  <c r="R18" i="5"/>
  <c r="R24" i="5"/>
  <c r="R25" i="5" s="1"/>
  <c r="Q24" i="15"/>
  <c r="Q25" i="15" s="1"/>
  <c r="Q18" i="15"/>
  <c r="Q24" i="3"/>
  <c r="Q25" i="3" s="1"/>
  <c r="Q18" i="3"/>
  <c r="R18" i="3"/>
  <c r="R24" i="3"/>
  <c r="R25" i="3" s="1"/>
  <c r="R18" i="2"/>
  <c r="R24" i="2"/>
  <c r="R25" i="2" s="1"/>
  <c r="R24" i="4"/>
  <c r="R25" i="4" s="1"/>
  <c r="R18" i="4"/>
  <c r="P24" i="2"/>
  <c r="P25" i="2" s="1"/>
  <c r="P18" i="2"/>
  <c r="P24" i="4"/>
  <c r="P25" i="4" s="1"/>
  <c r="P18" i="4"/>
  <c r="P24" i="20"/>
  <c r="P25" i="20" s="1"/>
  <c r="P18" i="20"/>
  <c r="Q18" i="1"/>
  <c r="Q24" i="1"/>
  <c r="Q25" i="1" s="1"/>
  <c r="P24" i="15"/>
  <c r="P25" i="15" s="1"/>
  <c r="P18" i="15"/>
  <c r="O24" i="3"/>
  <c r="O25" i="3" s="1"/>
  <c r="O18" i="3"/>
  <c r="O24" i="5"/>
  <c r="O25" i="5" s="1"/>
  <c r="O18" i="5"/>
  <c r="R18" i="15"/>
  <c r="R24" i="15"/>
  <c r="R25" i="15" s="1"/>
  <c r="Q24" i="5"/>
  <c r="Q25" i="5" s="1"/>
  <c r="Q18" i="5"/>
  <c r="R24" i="20"/>
  <c r="R25" i="20" s="1"/>
  <c r="R18" i="20"/>
  <c r="Q24" i="20"/>
  <c r="Q25" i="20" s="1"/>
  <c r="Q18" i="20"/>
  <c r="Z17" i="15" l="1"/>
  <c r="Z24" i="15" s="1"/>
  <c r="Z25" i="15" s="1"/>
  <c r="E39" i="22"/>
  <c r="E41" i="22" s="1"/>
  <c r="AP17" i="15"/>
  <c r="AP13" i="15"/>
  <c r="Z18" i="15"/>
  <c r="P61" i="15"/>
  <c r="P57" i="15"/>
  <c r="R61" i="15"/>
  <c r="R57" i="15"/>
  <c r="Q46" i="15"/>
  <c r="Q41" i="15"/>
  <c r="O61" i="15"/>
  <c r="O57" i="15"/>
  <c r="P46" i="15"/>
  <c r="P41" i="15"/>
  <c r="O46" i="15"/>
  <c r="O41" i="15"/>
  <c r="R46" i="15"/>
  <c r="R41" i="15"/>
  <c r="Q61" i="15"/>
  <c r="Q57" i="15"/>
  <c r="F39" i="22" l="1"/>
  <c r="F41" i="22" s="1"/>
  <c r="AP18" i="15"/>
  <c r="AP24" i="15"/>
  <c r="AP25" i="15" s="1"/>
  <c r="O67" i="15"/>
  <c r="O62" i="15"/>
  <c r="Q67" i="15"/>
  <c r="Q62" i="15"/>
  <c r="R67" i="15"/>
  <c r="R62" i="15"/>
  <c r="P67" i="15"/>
  <c r="P62" i="15"/>
  <c r="G39" i="22" l="1"/>
  <c r="G41" i="22" s="1"/>
  <c r="H39" i="22" l="1"/>
  <c r="H41" i="22" s="1"/>
  <c r="I39" i="22" l="1"/>
  <c r="I41" i="22" s="1"/>
  <c r="J39" i="22" l="1"/>
  <c r="J41" i="22" s="1"/>
  <c r="K39" i="22" l="1"/>
  <c r="K41" i="22" s="1"/>
  <c r="L39" i="22" l="1"/>
  <c r="L41" i="22" s="1"/>
  <c r="M39" i="22" l="1"/>
  <c r="M41" i="22" s="1"/>
  <c r="N39" i="22" l="1"/>
  <c r="N41" i="22" s="1"/>
  <c r="O39" i="22" l="1"/>
  <c r="O41" i="22" s="1"/>
  <c r="P41" i="22" l="1"/>
  <c r="Q41" i="22" s="1"/>
  <c r="R41" i="22" s="1"/>
  <c r="O33" i="7" l="1"/>
  <c r="R22" i="7"/>
  <c r="Q22" i="7"/>
  <c r="P22" i="7"/>
  <c r="O22" i="7"/>
  <c r="R11" i="7"/>
  <c r="R13" i="7" s="1"/>
  <c r="Q11" i="7"/>
  <c r="Q13" i="7" s="1"/>
  <c r="P11" i="7"/>
  <c r="P13" i="7" s="1"/>
  <c r="O11" i="7"/>
  <c r="O13" i="7" s="1"/>
  <c r="I43" i="21"/>
  <c r="I42" i="21"/>
  <c r="H43" i="21"/>
  <c r="H42" i="21"/>
  <c r="G43" i="21"/>
  <c r="G42" i="21"/>
  <c r="F43" i="21"/>
  <c r="F42" i="21"/>
  <c r="E43" i="21"/>
  <c r="E42" i="21"/>
  <c r="D43" i="21"/>
  <c r="D42" i="21"/>
  <c r="C43" i="21"/>
  <c r="C42" i="21"/>
  <c r="J43" i="21"/>
  <c r="J42" i="21"/>
  <c r="M43" i="21"/>
  <c r="M42" i="21"/>
  <c r="L43" i="21"/>
  <c r="L42" i="21"/>
  <c r="O34" i="7" l="1"/>
  <c r="O18" i="7"/>
  <c r="P18" i="7"/>
  <c r="Q18" i="7"/>
  <c r="R18" i="7"/>
  <c r="R24" i="7" l="1"/>
  <c r="R28" i="7" s="1"/>
  <c r="R30" i="7" s="1"/>
  <c r="P24" i="7"/>
  <c r="P28" i="7" s="1"/>
  <c r="P30" i="7" s="1"/>
  <c r="Q24" i="7"/>
  <c r="Q28" i="7" s="1"/>
  <c r="Q30" i="7" s="1"/>
  <c r="O35" i="7"/>
  <c r="O24" i="7"/>
  <c r="O28" i="7" s="1"/>
  <c r="O30" i="7" s="1"/>
  <c r="O37" i="7" l="1"/>
  <c r="O36" i="7"/>
  <c r="R12" i="13" l="1"/>
  <c r="Q12" i="13"/>
  <c r="P12" i="13"/>
  <c r="O12" i="13"/>
  <c r="K43" i="21"/>
  <c r="K42" i="21"/>
  <c r="N43" i="21"/>
  <c r="N42" i="21"/>
  <c r="O29" i="21"/>
  <c r="G35" i="21"/>
  <c r="H35" i="21"/>
  <c r="I35" i="21"/>
  <c r="J35" i="21"/>
  <c r="K35" i="21"/>
  <c r="L35" i="21"/>
  <c r="M35" i="21"/>
  <c r="N35" i="21"/>
  <c r="O35" i="21"/>
  <c r="P35" i="21"/>
  <c r="Q35" i="21"/>
  <c r="R35" i="21"/>
  <c r="D35" i="21"/>
  <c r="E35" i="21"/>
  <c r="F35" i="21"/>
  <c r="C35" i="21"/>
  <c r="L12" i="21"/>
  <c r="M12" i="21"/>
  <c r="N12" i="21"/>
  <c r="O12" i="21"/>
  <c r="P12" i="21"/>
  <c r="Q12" i="21"/>
  <c r="R12" i="21"/>
  <c r="K12" i="21"/>
  <c r="H12" i="21"/>
  <c r="I12" i="21"/>
  <c r="J12" i="21"/>
  <c r="G12" i="21"/>
  <c r="D12" i="21"/>
  <c r="E12" i="21"/>
  <c r="F12" i="21"/>
  <c r="C12" i="21"/>
  <c r="R52" i="21"/>
  <c r="Q52" i="21"/>
  <c r="P52" i="21"/>
  <c r="R45" i="21"/>
  <c r="Q45" i="21"/>
  <c r="P45" i="21"/>
  <c r="O45" i="21"/>
  <c r="R29" i="21"/>
  <c r="Q29" i="21"/>
  <c r="P29" i="21"/>
  <c r="R20" i="21"/>
  <c r="R51" i="21" s="1"/>
  <c r="Q20" i="21"/>
  <c r="P20" i="21"/>
  <c r="O20" i="21"/>
  <c r="N52" i="21"/>
  <c r="M52" i="21"/>
  <c r="L52" i="21"/>
  <c r="K52" i="21"/>
  <c r="J52" i="21"/>
  <c r="I52" i="21"/>
  <c r="H52" i="21"/>
  <c r="G52" i="21"/>
  <c r="F52" i="21"/>
  <c r="E52" i="21"/>
  <c r="D52" i="21"/>
  <c r="C52" i="21"/>
  <c r="C50" i="21"/>
  <c r="M45" i="21"/>
  <c r="L45" i="21"/>
  <c r="J45" i="21"/>
  <c r="I45" i="21"/>
  <c r="H45" i="21"/>
  <c r="G45" i="21"/>
  <c r="F45" i="21"/>
  <c r="E45" i="21"/>
  <c r="D45" i="21"/>
  <c r="C45" i="21"/>
  <c r="N29" i="21"/>
  <c r="M29" i="21"/>
  <c r="L29" i="21"/>
  <c r="K29" i="21"/>
  <c r="J29" i="21"/>
  <c r="I29" i="21"/>
  <c r="H29" i="21"/>
  <c r="G29" i="21"/>
  <c r="F29" i="21"/>
  <c r="E29" i="21"/>
  <c r="D29" i="21"/>
  <c r="C29" i="21"/>
  <c r="N20" i="21"/>
  <c r="M20" i="21"/>
  <c r="L20" i="21"/>
  <c r="K20" i="21"/>
  <c r="J20" i="21"/>
  <c r="I20" i="21"/>
  <c r="H20" i="21"/>
  <c r="G20" i="21"/>
  <c r="F20" i="21"/>
  <c r="E20" i="21"/>
  <c r="D20" i="21"/>
  <c r="C20" i="21"/>
  <c r="N45" i="21" l="1"/>
  <c r="C47" i="21"/>
  <c r="Q22" i="21"/>
  <c r="K45" i="21"/>
  <c r="K47" i="21" s="1"/>
  <c r="K49" i="21" s="1"/>
  <c r="I51" i="21"/>
  <c r="H51" i="21"/>
  <c r="G51" i="21"/>
  <c r="F51" i="21"/>
  <c r="E51" i="21"/>
  <c r="D51" i="21"/>
  <c r="C51" i="21"/>
  <c r="J51" i="21"/>
  <c r="M51" i="21"/>
  <c r="L51" i="21"/>
  <c r="N51" i="21"/>
  <c r="Q51" i="21"/>
  <c r="P51" i="21"/>
  <c r="K22" i="21"/>
  <c r="F22" i="21"/>
  <c r="R22" i="21"/>
  <c r="J22" i="21"/>
  <c r="C22" i="21"/>
  <c r="G22" i="21"/>
  <c r="O22" i="21"/>
  <c r="N22" i="21"/>
  <c r="P22" i="21"/>
  <c r="L22" i="21"/>
  <c r="D22" i="21"/>
  <c r="H22" i="21"/>
  <c r="M22" i="21"/>
  <c r="I22" i="21"/>
  <c r="E22" i="21"/>
  <c r="O47" i="21"/>
  <c r="O49" i="21" s="1"/>
  <c r="P47" i="21"/>
  <c r="P49" i="21" s="1"/>
  <c r="Q47" i="21"/>
  <c r="Q49" i="21" s="1"/>
  <c r="R47" i="21"/>
  <c r="R49" i="21" s="1"/>
  <c r="D47" i="21"/>
  <c r="D49" i="21" s="1"/>
  <c r="H47" i="21"/>
  <c r="H49" i="21" s="1"/>
  <c r="L47" i="21"/>
  <c r="L49" i="21" s="1"/>
  <c r="E47" i="21"/>
  <c r="E49" i="21" s="1"/>
  <c r="I47" i="21"/>
  <c r="I49" i="21" s="1"/>
  <c r="M47" i="21"/>
  <c r="M49" i="21" s="1"/>
  <c r="F47" i="21"/>
  <c r="F49" i="21" s="1"/>
  <c r="J47" i="21"/>
  <c r="J49" i="21" s="1"/>
  <c r="N47" i="21"/>
  <c r="N49" i="21" s="1"/>
  <c r="C49" i="21"/>
  <c r="G47" i="21"/>
  <c r="G49" i="21" s="1"/>
  <c r="M20" i="1"/>
  <c r="L20" i="1"/>
  <c r="K20" i="1"/>
  <c r="N11" i="1"/>
  <c r="N10" i="1"/>
  <c r="M11" i="1"/>
  <c r="M10" i="1"/>
  <c r="K11" i="1"/>
  <c r="M5" i="1"/>
  <c r="L5" i="1"/>
  <c r="K5" i="1"/>
  <c r="H20" i="1"/>
  <c r="G20" i="1"/>
  <c r="J11" i="1"/>
  <c r="I11" i="1"/>
  <c r="H11" i="1"/>
  <c r="J10" i="1"/>
  <c r="I10" i="1"/>
  <c r="H10" i="1"/>
  <c r="G10" i="1"/>
  <c r="I5" i="1"/>
  <c r="H5" i="1"/>
  <c r="E20" i="1"/>
  <c r="D20" i="1"/>
  <c r="C20" i="1"/>
  <c r="F15" i="1"/>
  <c r="C15" i="1"/>
  <c r="E10" i="1"/>
  <c r="C10" i="1"/>
  <c r="D10" i="1"/>
  <c r="F5" i="1"/>
  <c r="E5" i="1"/>
  <c r="D5" i="1"/>
  <c r="C5" i="1"/>
  <c r="K51" i="21" l="1"/>
  <c r="N8" i="20"/>
  <c r="N12" i="20" s="1"/>
  <c r="N13" i="20" s="1"/>
  <c r="M8" i="20"/>
  <c r="M12" i="20" s="1"/>
  <c r="M13" i="20" s="1"/>
  <c r="L8" i="20"/>
  <c r="L12" i="20" s="1"/>
  <c r="K8" i="20"/>
  <c r="K12" i="20" s="1"/>
  <c r="J8" i="20"/>
  <c r="J12" i="20" s="1"/>
  <c r="I8" i="20"/>
  <c r="I12" i="20" s="1"/>
  <c r="H8" i="20"/>
  <c r="H12" i="20" s="1"/>
  <c r="H13" i="20" s="1"/>
  <c r="G8" i="20"/>
  <c r="G12" i="20" s="1"/>
  <c r="G13" i="20" s="1"/>
  <c r="F8" i="20"/>
  <c r="F12" i="20" s="1"/>
  <c r="F13" i="20" s="1"/>
  <c r="E8" i="20"/>
  <c r="E12" i="20" s="1"/>
  <c r="E13" i="20" s="1"/>
  <c r="D8" i="20"/>
  <c r="D12" i="20" s="1"/>
  <c r="C8" i="20"/>
  <c r="C12" i="20" s="1"/>
  <c r="C43" i="15"/>
  <c r="D43" i="15"/>
  <c r="E43" i="15"/>
  <c r="F43" i="15"/>
  <c r="G43" i="15"/>
  <c r="H43" i="15"/>
  <c r="I43" i="15"/>
  <c r="J43" i="15"/>
  <c r="K43" i="15"/>
  <c r="L43" i="15"/>
  <c r="M43" i="15"/>
  <c r="N43" i="15"/>
  <c r="D44" i="15"/>
  <c r="E44" i="15"/>
  <c r="F44" i="15"/>
  <c r="G44" i="15"/>
  <c r="H44" i="15"/>
  <c r="I44" i="15"/>
  <c r="J44" i="15"/>
  <c r="K44" i="15"/>
  <c r="L44" i="15"/>
  <c r="M44" i="15"/>
  <c r="N44" i="15"/>
  <c r="C44" i="15"/>
  <c r="D38" i="15"/>
  <c r="E38" i="15"/>
  <c r="F38" i="15"/>
  <c r="G38" i="15"/>
  <c r="H38" i="15"/>
  <c r="I38" i="15"/>
  <c r="J38" i="15"/>
  <c r="K38" i="15"/>
  <c r="L38" i="15"/>
  <c r="M38" i="15"/>
  <c r="N38" i="15"/>
  <c r="C38" i="15"/>
  <c r="D33" i="15"/>
  <c r="E33" i="15"/>
  <c r="F33" i="15"/>
  <c r="G33" i="15"/>
  <c r="H33" i="15"/>
  <c r="I33" i="15"/>
  <c r="J33" i="15"/>
  <c r="K33" i="15"/>
  <c r="L33" i="15"/>
  <c r="M33" i="15"/>
  <c r="N33" i="15"/>
  <c r="D34" i="15"/>
  <c r="E34" i="15"/>
  <c r="F34" i="15"/>
  <c r="G34" i="15"/>
  <c r="H34" i="15"/>
  <c r="I34" i="15"/>
  <c r="J34" i="15"/>
  <c r="K34" i="15"/>
  <c r="L34" i="15"/>
  <c r="M34" i="15"/>
  <c r="N34" i="15"/>
  <c r="C34" i="15"/>
  <c r="C33" i="15"/>
  <c r="D31" i="15"/>
  <c r="E31" i="15"/>
  <c r="F31" i="15"/>
  <c r="G31" i="15"/>
  <c r="H31" i="15"/>
  <c r="I31" i="15"/>
  <c r="J31" i="15"/>
  <c r="K31" i="15"/>
  <c r="L31" i="15"/>
  <c r="M31" i="15"/>
  <c r="N31" i="15"/>
  <c r="C31" i="15"/>
  <c r="AF20" i="15"/>
  <c r="AD20" i="15"/>
  <c r="AB20" i="15"/>
  <c r="I35" i="15" l="1"/>
  <c r="N35" i="15"/>
  <c r="N40" i="15" s="1"/>
  <c r="N46" i="15" s="1"/>
  <c r="J35" i="15"/>
  <c r="F35" i="15"/>
  <c r="F40" i="15" s="1"/>
  <c r="F46" i="15" s="1"/>
  <c r="I17" i="20"/>
  <c r="I13" i="20"/>
  <c r="J17" i="20"/>
  <c r="J13" i="20"/>
  <c r="C13" i="20"/>
  <c r="C17" i="20"/>
  <c r="L13" i="20"/>
  <c r="L17" i="20"/>
  <c r="K13" i="20"/>
  <c r="K17" i="20"/>
  <c r="D17" i="20"/>
  <c r="D13" i="20"/>
  <c r="E17" i="20"/>
  <c r="M17" i="20"/>
  <c r="F17" i="20"/>
  <c r="N17" i="20"/>
  <c r="G17" i="20"/>
  <c r="H17" i="20"/>
  <c r="M35" i="15"/>
  <c r="M36" i="15" s="1"/>
  <c r="H35" i="15"/>
  <c r="H40" i="15" s="1"/>
  <c r="H46" i="15" s="1"/>
  <c r="I40" i="15"/>
  <c r="I46" i="15" s="1"/>
  <c r="C35" i="15"/>
  <c r="C40" i="15" s="1"/>
  <c r="C46" i="15" s="1"/>
  <c r="D35" i="15"/>
  <c r="D36" i="15" s="1"/>
  <c r="E35" i="15"/>
  <c r="E40" i="15" s="1"/>
  <c r="E46" i="15" s="1"/>
  <c r="G35" i="15"/>
  <c r="G36" i="15" s="1"/>
  <c r="L35" i="15"/>
  <c r="L36" i="15" s="1"/>
  <c r="J36" i="15"/>
  <c r="J40" i="15"/>
  <c r="J46" i="15" s="1"/>
  <c r="K35" i="15"/>
  <c r="I36" i="15"/>
  <c r="N36" i="15" l="1"/>
  <c r="F36" i="15"/>
  <c r="M40" i="15"/>
  <c r="M46" i="15" s="1"/>
  <c r="F18" i="20"/>
  <c r="F24" i="20"/>
  <c r="F25" i="20" s="1"/>
  <c r="N18" i="20"/>
  <c r="N24" i="20"/>
  <c r="N25" i="20" s="1"/>
  <c r="M18" i="20"/>
  <c r="M24" i="20"/>
  <c r="M25" i="20" s="1"/>
  <c r="C18" i="20"/>
  <c r="C24" i="20"/>
  <c r="C25" i="20" s="1"/>
  <c r="L24" i="20"/>
  <c r="L25" i="20" s="1"/>
  <c r="L18" i="20"/>
  <c r="E18" i="20"/>
  <c r="E24" i="20"/>
  <c r="E25" i="20" s="1"/>
  <c r="E36" i="15"/>
  <c r="D18" i="20"/>
  <c r="D24" i="20"/>
  <c r="D25" i="20" s="1"/>
  <c r="J24" i="20"/>
  <c r="J25" i="20" s="1"/>
  <c r="J18" i="20"/>
  <c r="G18" i="20"/>
  <c r="G24" i="20"/>
  <c r="G25" i="20" s="1"/>
  <c r="H18" i="20"/>
  <c r="H24" i="20"/>
  <c r="H25" i="20" s="1"/>
  <c r="K18" i="20"/>
  <c r="K24" i="20"/>
  <c r="K25" i="20" s="1"/>
  <c r="I24" i="20"/>
  <c r="I25" i="20" s="1"/>
  <c r="I18" i="20"/>
  <c r="H36" i="15"/>
  <c r="I41" i="15"/>
  <c r="G40" i="15"/>
  <c r="G46" i="15" s="1"/>
  <c r="C36" i="15"/>
  <c r="L40" i="15"/>
  <c r="L46" i="15" s="1"/>
  <c r="D40" i="15"/>
  <c r="D46" i="15" s="1"/>
  <c r="H41" i="15"/>
  <c r="K36" i="15"/>
  <c r="K40" i="15"/>
  <c r="K46" i="15" s="1"/>
  <c r="C41" i="15"/>
  <c r="M41" i="15"/>
  <c r="F41" i="15"/>
  <c r="N41" i="15"/>
  <c r="E41" i="15"/>
  <c r="J41" i="15"/>
  <c r="G41" i="15" l="1"/>
  <c r="L41" i="15"/>
  <c r="D41" i="15"/>
  <c r="K41" i="15"/>
  <c r="AF15" i="15" l="1"/>
  <c r="AD15" i="15"/>
  <c r="AB15" i="15"/>
  <c r="AF11" i="15"/>
  <c r="AD11" i="15"/>
  <c r="AB11" i="15"/>
  <c r="AF10" i="15"/>
  <c r="AD10" i="15"/>
  <c r="AB10" i="15"/>
  <c r="AF8" i="15"/>
  <c r="AD8" i="15"/>
  <c r="AB8" i="15"/>
  <c r="N22" i="15"/>
  <c r="N65" i="15" s="1"/>
  <c r="M22" i="15"/>
  <c r="M65" i="15" s="1"/>
  <c r="L22" i="15"/>
  <c r="L65" i="15" s="1"/>
  <c r="K22" i="15"/>
  <c r="K65" i="15" s="1"/>
  <c r="J22" i="15"/>
  <c r="J65" i="15" s="1"/>
  <c r="I22" i="15"/>
  <c r="I65" i="15" s="1"/>
  <c r="H22" i="15"/>
  <c r="H65" i="15" s="1"/>
  <c r="G22" i="15"/>
  <c r="G65" i="15" s="1"/>
  <c r="F22" i="15"/>
  <c r="F65" i="15" s="1"/>
  <c r="E22" i="15"/>
  <c r="E65" i="15" s="1"/>
  <c r="D22" i="15"/>
  <c r="D65" i="15" s="1"/>
  <c r="C22" i="15"/>
  <c r="C65" i="15" s="1"/>
  <c r="N21" i="15"/>
  <c r="M21" i="15"/>
  <c r="L21" i="15"/>
  <c r="K21" i="15"/>
  <c r="J21" i="15"/>
  <c r="I21" i="15"/>
  <c r="H21" i="15"/>
  <c r="G21" i="15"/>
  <c r="F21" i="15"/>
  <c r="E21" i="15"/>
  <c r="D21" i="15"/>
  <c r="C21" i="15"/>
  <c r="N20" i="15"/>
  <c r="M20" i="15"/>
  <c r="M64" i="15" s="1"/>
  <c r="L20" i="15"/>
  <c r="L64" i="15" s="1"/>
  <c r="K20" i="15"/>
  <c r="K64" i="15" s="1"/>
  <c r="J20" i="15"/>
  <c r="I20" i="15"/>
  <c r="H20" i="15"/>
  <c r="H64" i="15" s="1"/>
  <c r="G20" i="15"/>
  <c r="G64" i="15" s="1"/>
  <c r="F20" i="15"/>
  <c r="E20" i="15"/>
  <c r="E64" i="15" s="1"/>
  <c r="D20" i="15"/>
  <c r="D64" i="15" s="1"/>
  <c r="C20" i="15"/>
  <c r="C64" i="15" s="1"/>
  <c r="N15" i="15"/>
  <c r="N59" i="15" s="1"/>
  <c r="M15" i="15"/>
  <c r="M59" i="15" s="1"/>
  <c r="L15" i="15"/>
  <c r="L59" i="15" s="1"/>
  <c r="K15" i="15"/>
  <c r="K59" i="15" s="1"/>
  <c r="J15" i="15"/>
  <c r="J59" i="15" s="1"/>
  <c r="I15" i="15"/>
  <c r="I59" i="15" s="1"/>
  <c r="H15" i="15"/>
  <c r="H59" i="15" s="1"/>
  <c r="G15" i="15"/>
  <c r="G59" i="15" s="1"/>
  <c r="F15" i="15"/>
  <c r="F59" i="15" s="1"/>
  <c r="E15" i="15"/>
  <c r="E59" i="15" s="1"/>
  <c r="D15" i="15"/>
  <c r="D59" i="15" s="1"/>
  <c r="C15" i="15"/>
  <c r="C59" i="15" s="1"/>
  <c r="N11" i="15"/>
  <c r="N55" i="15" s="1"/>
  <c r="M11" i="15"/>
  <c r="M55" i="15" s="1"/>
  <c r="L11" i="15"/>
  <c r="L55" i="15" s="1"/>
  <c r="K11" i="15"/>
  <c r="K55" i="15" s="1"/>
  <c r="J11" i="15"/>
  <c r="J55" i="15" s="1"/>
  <c r="I11" i="15"/>
  <c r="I55" i="15" s="1"/>
  <c r="H11" i="15"/>
  <c r="H55" i="15" s="1"/>
  <c r="G11" i="15"/>
  <c r="G55" i="15" s="1"/>
  <c r="F11" i="15"/>
  <c r="F55" i="15" s="1"/>
  <c r="E11" i="15"/>
  <c r="E55" i="15" s="1"/>
  <c r="D11" i="15"/>
  <c r="D55" i="15" s="1"/>
  <c r="C11" i="15"/>
  <c r="C55" i="15" s="1"/>
  <c r="N10" i="15"/>
  <c r="N54" i="15" s="1"/>
  <c r="M10" i="15"/>
  <c r="M54" i="15" s="1"/>
  <c r="L10" i="15"/>
  <c r="L54" i="15" s="1"/>
  <c r="K10" i="15"/>
  <c r="K54" i="15" s="1"/>
  <c r="J10" i="15"/>
  <c r="J54" i="15" s="1"/>
  <c r="I10" i="15"/>
  <c r="I54" i="15" s="1"/>
  <c r="H10" i="15"/>
  <c r="H54" i="15" s="1"/>
  <c r="G10" i="15"/>
  <c r="G54" i="15" s="1"/>
  <c r="F10" i="15"/>
  <c r="F54" i="15" s="1"/>
  <c r="E10" i="15"/>
  <c r="E54" i="15" s="1"/>
  <c r="D10" i="15"/>
  <c r="D54" i="15" s="1"/>
  <c r="C10" i="15"/>
  <c r="C54" i="15" s="1"/>
  <c r="F64" i="15" l="1"/>
  <c r="N64" i="15"/>
  <c r="I64" i="15"/>
  <c r="J64" i="15"/>
  <c r="X15" i="15"/>
  <c r="AN15" i="15" s="1"/>
  <c r="X10" i="15"/>
  <c r="AN10" i="15" s="1"/>
  <c r="X11" i="15"/>
  <c r="AN11" i="15" s="1"/>
  <c r="V15" i="15"/>
  <c r="AL15" i="15" s="1"/>
  <c r="X22" i="15" l="1"/>
  <c r="V22" i="15"/>
  <c r="X21" i="15"/>
  <c r="V21" i="15"/>
  <c r="X20" i="15"/>
  <c r="V20" i="15"/>
  <c r="V11" i="15"/>
  <c r="AL11" i="15" s="1"/>
  <c r="V10" i="15"/>
  <c r="AL10" i="15" s="1"/>
  <c r="C6" i="15"/>
  <c r="D6" i="15"/>
  <c r="E6" i="15"/>
  <c r="F6" i="15"/>
  <c r="G6" i="15"/>
  <c r="H6" i="15"/>
  <c r="I6" i="15"/>
  <c r="J6" i="15"/>
  <c r="K6" i="15"/>
  <c r="L6" i="15"/>
  <c r="M6" i="15"/>
  <c r="N6" i="15"/>
  <c r="C7" i="15"/>
  <c r="D7" i="15"/>
  <c r="E7" i="15"/>
  <c r="F7" i="15"/>
  <c r="G7" i="15"/>
  <c r="H7" i="15"/>
  <c r="I7" i="15"/>
  <c r="J7" i="15"/>
  <c r="K7" i="15"/>
  <c r="L7" i="15"/>
  <c r="M7" i="15"/>
  <c r="N7" i="15"/>
  <c r="D5" i="15"/>
  <c r="E5" i="15"/>
  <c r="F5" i="15"/>
  <c r="G5" i="15"/>
  <c r="H5" i="15"/>
  <c r="I5" i="15"/>
  <c r="J5" i="15"/>
  <c r="K5" i="15"/>
  <c r="L5" i="15"/>
  <c r="M5" i="15"/>
  <c r="N5" i="15"/>
  <c r="C5" i="15"/>
  <c r="X5" i="15" l="1"/>
  <c r="T5" i="15"/>
  <c r="AL20" i="15"/>
  <c r="AN20" i="15"/>
  <c r="V7" i="15"/>
  <c r="X6" i="15"/>
  <c r="X7" i="15"/>
  <c r="V6" i="15"/>
  <c r="V5" i="15"/>
  <c r="X8" i="15" l="1"/>
  <c r="AB12" i="15"/>
  <c r="AF12" i="15"/>
  <c r="V8" i="15"/>
  <c r="V12" i="15" l="1"/>
  <c r="V17" i="15" s="1"/>
  <c r="AL8" i="15"/>
  <c r="AL12" i="15" s="1"/>
  <c r="AL17" i="15" s="1"/>
  <c r="X12" i="15"/>
  <c r="X13" i="15" s="1"/>
  <c r="AN8" i="15"/>
  <c r="AF17" i="15"/>
  <c r="AF13" i="15"/>
  <c r="AB17" i="15"/>
  <c r="AB13" i="15"/>
  <c r="X17" i="15" l="1"/>
  <c r="X24" i="15" s="1"/>
  <c r="X25" i="15" s="1"/>
  <c r="V13" i="15"/>
  <c r="AL13" i="15"/>
  <c r="V18" i="15"/>
  <c r="V24" i="15"/>
  <c r="V25" i="15" s="1"/>
  <c r="AF24" i="15"/>
  <c r="AF25" i="15" s="1"/>
  <c r="AF18" i="15"/>
  <c r="AB24" i="15"/>
  <c r="AB25" i="15" s="1"/>
  <c r="AB18" i="15"/>
  <c r="AL18" i="15"/>
  <c r="AL24" i="15"/>
  <c r="AL25" i="15" s="1"/>
  <c r="X18" i="15" l="1"/>
  <c r="T22" i="15"/>
  <c r="T21" i="15"/>
  <c r="T20" i="15"/>
  <c r="T15" i="15"/>
  <c r="AJ15" i="15" s="1"/>
  <c r="T11" i="15"/>
  <c r="AJ11" i="15" s="1"/>
  <c r="T10" i="15"/>
  <c r="AJ10" i="15" s="1"/>
  <c r="T7" i="15"/>
  <c r="T6" i="15"/>
  <c r="N8" i="15"/>
  <c r="N52" i="15" s="1"/>
  <c r="M8" i="15"/>
  <c r="L8" i="15"/>
  <c r="K8" i="15"/>
  <c r="J8" i="15"/>
  <c r="I8" i="15"/>
  <c r="H8" i="15"/>
  <c r="G8" i="15"/>
  <c r="F8" i="15"/>
  <c r="E8" i="15"/>
  <c r="D8" i="15"/>
  <c r="C8" i="15"/>
  <c r="AJ20" i="15" l="1"/>
  <c r="E12" i="15"/>
  <c r="E17" i="15" s="1"/>
  <c r="E52" i="15"/>
  <c r="F12" i="15"/>
  <c r="F17" i="15" s="1"/>
  <c r="F52" i="15"/>
  <c r="G12" i="15"/>
  <c r="G56" i="15" s="1"/>
  <c r="G52" i="15"/>
  <c r="D12" i="15"/>
  <c r="D56" i="15" s="1"/>
  <c r="D52" i="15"/>
  <c r="M12" i="15"/>
  <c r="M17" i="15" s="1"/>
  <c r="M52" i="15"/>
  <c r="H12" i="15"/>
  <c r="H56" i="15" s="1"/>
  <c r="H52" i="15"/>
  <c r="C12" i="15"/>
  <c r="C56" i="15" s="1"/>
  <c r="C52" i="15"/>
  <c r="K12" i="15"/>
  <c r="K56" i="15" s="1"/>
  <c r="K52" i="15"/>
  <c r="L12" i="15"/>
  <c r="L56" i="15" s="1"/>
  <c r="L52" i="15"/>
  <c r="I12" i="15"/>
  <c r="I56" i="15" s="1"/>
  <c r="I52" i="15"/>
  <c r="J12" i="15"/>
  <c r="J56" i="15" s="1"/>
  <c r="J52" i="15"/>
  <c r="C13" i="15"/>
  <c r="N12" i="15"/>
  <c r="AD12" i="15"/>
  <c r="AN12" i="15"/>
  <c r="T8" i="15"/>
  <c r="C17" i="15" l="1"/>
  <c r="C18" i="15" s="1"/>
  <c r="H13" i="15"/>
  <c r="H17" i="15"/>
  <c r="L17" i="15"/>
  <c r="L18" i="15" s="1"/>
  <c r="L13" i="15"/>
  <c r="I13" i="15"/>
  <c r="K13" i="15"/>
  <c r="I17" i="15"/>
  <c r="I24" i="15" s="1"/>
  <c r="I25" i="15" s="1"/>
  <c r="D61" i="15"/>
  <c r="D67" i="15" s="1"/>
  <c r="D57" i="15"/>
  <c r="D13" i="15"/>
  <c r="K57" i="15"/>
  <c r="K61" i="15"/>
  <c r="K67" i="15" s="1"/>
  <c r="K17" i="15"/>
  <c r="K18" i="15" s="1"/>
  <c r="D17" i="15"/>
  <c r="D18" i="15" s="1"/>
  <c r="G57" i="15"/>
  <c r="G61" i="15"/>
  <c r="G67" i="15" s="1"/>
  <c r="I61" i="15"/>
  <c r="I67" i="15" s="1"/>
  <c r="I57" i="15"/>
  <c r="H61" i="15"/>
  <c r="H67" i="15" s="1"/>
  <c r="H57" i="15"/>
  <c r="F13" i="15"/>
  <c r="F56" i="15"/>
  <c r="J57" i="15"/>
  <c r="J61" i="15"/>
  <c r="J67" i="15" s="1"/>
  <c r="G17" i="15"/>
  <c r="G24" i="15" s="1"/>
  <c r="G25" i="15" s="1"/>
  <c r="C61" i="15"/>
  <c r="C67" i="15" s="1"/>
  <c r="C57" i="15"/>
  <c r="J13" i="15"/>
  <c r="J17" i="15"/>
  <c r="J24" i="15" s="1"/>
  <c r="J25" i="15" s="1"/>
  <c r="G13" i="15"/>
  <c r="N13" i="15"/>
  <c r="N56" i="15"/>
  <c r="L57" i="15"/>
  <c r="L61" i="15"/>
  <c r="L67" i="15" s="1"/>
  <c r="M13" i="15"/>
  <c r="M56" i="15"/>
  <c r="E13" i="15"/>
  <c r="E56" i="15"/>
  <c r="T12" i="15"/>
  <c r="T17" i="15" s="1"/>
  <c r="T18" i="15" s="1"/>
  <c r="AJ8" i="15"/>
  <c r="AJ12" i="15" s="1"/>
  <c r="AN13" i="15"/>
  <c r="AN17" i="15"/>
  <c r="AD17" i="15"/>
  <c r="AD13" i="15"/>
  <c r="N17" i="15"/>
  <c r="N24" i="15" s="1"/>
  <c r="N25" i="15" s="1"/>
  <c r="H24" i="15"/>
  <c r="H25" i="15" s="1"/>
  <c r="H18" i="15"/>
  <c r="M18" i="15"/>
  <c r="M24" i="15"/>
  <c r="M25" i="15" s="1"/>
  <c r="E18" i="15"/>
  <c r="E24" i="15"/>
  <c r="E25" i="15" s="1"/>
  <c r="C24" i="15"/>
  <c r="C25" i="15" s="1"/>
  <c r="F18" i="15"/>
  <c r="F24" i="15"/>
  <c r="F25" i="15" s="1"/>
  <c r="I18" i="15" l="1"/>
  <c r="L24" i="15"/>
  <c r="L25" i="15" s="1"/>
  <c r="G18" i="15"/>
  <c r="T13" i="15"/>
  <c r="F61" i="15"/>
  <c r="F67" i="15" s="1"/>
  <c r="F57" i="15"/>
  <c r="K62" i="15"/>
  <c r="M57" i="15"/>
  <c r="M61" i="15"/>
  <c r="M67" i="15" s="1"/>
  <c r="K24" i="15"/>
  <c r="K25" i="15" s="1"/>
  <c r="J18" i="15"/>
  <c r="D24" i="15"/>
  <c r="D25" i="15" s="1"/>
  <c r="H62" i="15"/>
  <c r="L62" i="15"/>
  <c r="C62" i="15"/>
  <c r="E57" i="15"/>
  <c r="E61" i="15"/>
  <c r="E67" i="15" s="1"/>
  <c r="I62" i="15"/>
  <c r="N61" i="15"/>
  <c r="N67" i="15" s="1"/>
  <c r="N57" i="15"/>
  <c r="J62" i="15"/>
  <c r="G62" i="15"/>
  <c r="D62" i="15"/>
  <c r="AJ17" i="15"/>
  <c r="AJ13" i="15"/>
  <c r="N18" i="15"/>
  <c r="AD24" i="15"/>
  <c r="AD25" i="15" s="1"/>
  <c r="AD18" i="15"/>
  <c r="AN24" i="15"/>
  <c r="AN25" i="15" s="1"/>
  <c r="AN18" i="15"/>
  <c r="T24" i="15"/>
  <c r="T25" i="15" s="1"/>
  <c r="M62" i="15" l="1"/>
  <c r="N62" i="15"/>
  <c r="E62" i="15"/>
  <c r="F62" i="15"/>
  <c r="AJ24" i="15"/>
  <c r="AJ25" i="15" s="1"/>
  <c r="AJ18" i="15"/>
  <c r="N33" i="7" l="1"/>
  <c r="M12" i="13" l="1"/>
  <c r="M33" i="7" l="1"/>
  <c r="L33" i="7" l="1"/>
  <c r="L8" i="5" l="1"/>
  <c r="L12" i="5" s="1"/>
  <c r="L8" i="4"/>
  <c r="L12" i="4" s="1"/>
  <c r="L8" i="3"/>
  <c r="L12" i="3" s="1"/>
  <c r="L8" i="2"/>
  <c r="L12" i="2" s="1"/>
  <c r="L13" i="5" l="1"/>
  <c r="L17" i="5"/>
  <c r="L18" i="5" s="1"/>
  <c r="L13" i="4"/>
  <c r="L17" i="4"/>
  <c r="L18" i="4" s="1"/>
  <c r="L17" i="3"/>
  <c r="L18" i="3" s="1"/>
  <c r="L13" i="3"/>
  <c r="L13" i="2"/>
  <c r="L17" i="2"/>
  <c r="L18" i="2" s="1"/>
  <c r="L12" i="13" l="1"/>
  <c r="N12" i="13"/>
  <c r="K12" i="13"/>
  <c r="H12" i="13"/>
  <c r="I12" i="13"/>
  <c r="J12" i="13"/>
  <c r="G12" i="13"/>
  <c r="D12" i="13"/>
  <c r="E12" i="13"/>
  <c r="F12" i="13"/>
  <c r="C12" i="13"/>
  <c r="C33" i="7" l="1"/>
  <c r="F7" i="12" l="1"/>
  <c r="F9" i="12" s="1"/>
  <c r="E7" i="12"/>
  <c r="E9" i="12" s="1"/>
  <c r="D7" i="12"/>
  <c r="D9" i="12" s="1"/>
  <c r="C7" i="12"/>
  <c r="C9" i="12" s="1"/>
  <c r="F6" i="12"/>
  <c r="F11" i="12" s="1"/>
  <c r="E6" i="12"/>
  <c r="E11" i="12" s="1"/>
  <c r="D6" i="12"/>
  <c r="D11" i="12" s="1"/>
  <c r="C6" i="12"/>
  <c r="C11" i="12" s="1"/>
  <c r="C13" i="12" l="1"/>
  <c r="E13" i="12"/>
  <c r="F13" i="12"/>
  <c r="D13" i="12"/>
  <c r="F8" i="5" l="1"/>
  <c r="F12" i="5" s="1"/>
  <c r="E8" i="5"/>
  <c r="E12" i="5" s="1"/>
  <c r="D8" i="5"/>
  <c r="D12" i="5" s="1"/>
  <c r="C8" i="5"/>
  <c r="C12" i="5" s="1"/>
  <c r="F8" i="3"/>
  <c r="F12" i="3" s="1"/>
  <c r="E8" i="3"/>
  <c r="E12" i="3" s="1"/>
  <c r="D8" i="3"/>
  <c r="D12" i="3" s="1"/>
  <c r="C8" i="3"/>
  <c r="C12" i="3" s="1"/>
  <c r="C17" i="5" l="1"/>
  <c r="C18" i="5" s="1"/>
  <c r="C13" i="5"/>
  <c r="D17" i="5"/>
  <c r="D18" i="5" s="1"/>
  <c r="D13" i="5"/>
  <c r="E17" i="5"/>
  <c r="E18" i="5" s="1"/>
  <c r="E13" i="5"/>
  <c r="F17" i="5"/>
  <c r="F18" i="5" s="1"/>
  <c r="F13" i="5"/>
  <c r="C17" i="3"/>
  <c r="C13" i="3"/>
  <c r="D17" i="3"/>
  <c r="D13" i="3"/>
  <c r="E17" i="3"/>
  <c r="E13" i="3"/>
  <c r="F17" i="3"/>
  <c r="F13" i="3"/>
  <c r="D24" i="3" l="1"/>
  <c r="D18" i="3"/>
  <c r="F24" i="3"/>
  <c r="F18" i="3"/>
  <c r="E24" i="3"/>
  <c r="E18" i="3"/>
  <c r="C24" i="3"/>
  <c r="C18" i="3"/>
  <c r="G11" i="12" l="1"/>
  <c r="J7" i="12"/>
  <c r="I7" i="12"/>
  <c r="H7" i="12"/>
  <c r="J6" i="12"/>
  <c r="J11" i="12" s="1"/>
  <c r="I6" i="12"/>
  <c r="H6" i="12"/>
  <c r="G9" i="12" l="1"/>
  <c r="G13" i="12" s="1"/>
  <c r="H9" i="12"/>
  <c r="H11" i="12"/>
  <c r="I9" i="12"/>
  <c r="J9" i="12"/>
  <c r="J13" i="12" s="1"/>
  <c r="I11" i="12"/>
  <c r="H13" i="12" l="1"/>
  <c r="I13" i="12"/>
  <c r="F33" i="7" l="1"/>
  <c r="E33" i="7"/>
  <c r="D33" i="7"/>
  <c r="F22" i="7"/>
  <c r="E22" i="7"/>
  <c r="D22" i="7"/>
  <c r="C22" i="7"/>
  <c r="F11" i="7"/>
  <c r="F13" i="7" s="1"/>
  <c r="E11" i="7"/>
  <c r="E13" i="7" s="1"/>
  <c r="D11" i="7"/>
  <c r="D13" i="7" s="1"/>
  <c r="C11" i="7"/>
  <c r="C13" i="7" s="1"/>
  <c r="F8" i="2"/>
  <c r="F12" i="2" s="1"/>
  <c r="E8" i="2"/>
  <c r="E12" i="2" s="1"/>
  <c r="D8" i="2"/>
  <c r="D12" i="2" s="1"/>
  <c r="C8" i="2"/>
  <c r="C12" i="2" s="1"/>
  <c r="F8" i="4"/>
  <c r="F12" i="4" s="1"/>
  <c r="E8" i="4"/>
  <c r="E12" i="4" s="1"/>
  <c r="D8" i="4"/>
  <c r="D12" i="4" s="1"/>
  <c r="C8" i="4"/>
  <c r="C12" i="4" s="1"/>
  <c r="F8" i="1"/>
  <c r="E8" i="1"/>
  <c r="D8" i="1"/>
  <c r="C8" i="1"/>
  <c r="D12" i="1" l="1"/>
  <c r="D17" i="1" s="1"/>
  <c r="E12" i="1"/>
  <c r="E17" i="1" s="1"/>
  <c r="C12" i="1"/>
  <c r="C13" i="1" s="1"/>
  <c r="F12" i="1"/>
  <c r="F17" i="1" s="1"/>
  <c r="E18" i="7"/>
  <c r="E34" i="7"/>
  <c r="C34" i="7"/>
  <c r="C18" i="7"/>
  <c r="D34" i="7"/>
  <c r="D18" i="7"/>
  <c r="F34" i="7"/>
  <c r="F18" i="7"/>
  <c r="D17" i="4"/>
  <c r="D13" i="4"/>
  <c r="E17" i="4"/>
  <c r="E13" i="4"/>
  <c r="E17" i="2"/>
  <c r="E13" i="2"/>
  <c r="C17" i="4"/>
  <c r="C13" i="4"/>
  <c r="C13" i="2"/>
  <c r="C17" i="2"/>
  <c r="D13" i="2"/>
  <c r="D17" i="2"/>
  <c r="F17" i="4"/>
  <c r="F13" i="4"/>
  <c r="F17" i="2"/>
  <c r="F13" i="2"/>
  <c r="C17" i="1" l="1"/>
  <c r="D13" i="1"/>
  <c r="E13" i="1"/>
  <c r="F13" i="1"/>
  <c r="C35" i="7"/>
  <c r="C24" i="7"/>
  <c r="C28" i="7" s="1"/>
  <c r="C30" i="7" s="1"/>
  <c r="D35" i="7"/>
  <c r="D24" i="7"/>
  <c r="D28" i="7" s="1"/>
  <c r="D30" i="7" s="1"/>
  <c r="F35" i="7"/>
  <c r="F24" i="7"/>
  <c r="F28" i="7" s="1"/>
  <c r="F30" i="7" s="1"/>
  <c r="E24" i="7"/>
  <c r="E28" i="7" s="1"/>
  <c r="E30" i="7" s="1"/>
  <c r="E35" i="7"/>
  <c r="C18" i="2"/>
  <c r="C24" i="2"/>
  <c r="C25" i="2" s="1"/>
  <c r="F24" i="1"/>
  <c r="F25" i="1" s="1"/>
  <c r="F18" i="1"/>
  <c r="C18" i="1"/>
  <c r="C24" i="1"/>
  <c r="C25" i="1" s="1"/>
  <c r="D24" i="4"/>
  <c r="D25" i="4" s="1"/>
  <c r="D18" i="4"/>
  <c r="D24" i="2"/>
  <c r="D25" i="2" s="1"/>
  <c r="D18" i="2"/>
  <c r="C25" i="3"/>
  <c r="F24" i="2"/>
  <c r="F25" i="2" s="1"/>
  <c r="F18" i="2"/>
  <c r="F24" i="4"/>
  <c r="F25" i="4" s="1"/>
  <c r="F18" i="4"/>
  <c r="D25" i="3"/>
  <c r="E25" i="3"/>
  <c r="E24" i="5"/>
  <c r="E25" i="5" s="1"/>
  <c r="F25" i="3"/>
  <c r="F24" i="5"/>
  <c r="F25" i="5" s="1"/>
  <c r="D24" i="5"/>
  <c r="D25" i="5" s="1"/>
  <c r="C18" i="4"/>
  <c r="C24" i="4"/>
  <c r="C25" i="4" s="1"/>
  <c r="E24" i="2"/>
  <c r="E25" i="2" s="1"/>
  <c r="E18" i="2"/>
  <c r="E24" i="4"/>
  <c r="E25" i="4" s="1"/>
  <c r="E18" i="4"/>
  <c r="E24" i="1"/>
  <c r="E25" i="1" s="1"/>
  <c r="E18" i="1"/>
  <c r="D18" i="1"/>
  <c r="D24" i="1"/>
  <c r="D25" i="1" s="1"/>
  <c r="C24" i="5"/>
  <c r="C25" i="5" s="1"/>
  <c r="E36" i="7" l="1"/>
  <c r="E37" i="7"/>
  <c r="D36" i="7"/>
  <c r="D37" i="7"/>
  <c r="F36" i="7"/>
  <c r="F37" i="7"/>
  <c r="C37" i="7"/>
  <c r="C36" i="7"/>
  <c r="H33" i="7" l="1"/>
  <c r="I33" i="7"/>
  <c r="J33" i="7"/>
  <c r="K33" i="7"/>
  <c r="G33" i="7"/>
  <c r="G22" i="7"/>
  <c r="H22" i="7"/>
  <c r="I22" i="7"/>
  <c r="J22" i="7"/>
  <c r="K22" i="7"/>
  <c r="L22" i="7"/>
  <c r="M22" i="7"/>
  <c r="N22" i="7"/>
  <c r="G11" i="7"/>
  <c r="G13" i="7" s="1"/>
  <c r="H11" i="7"/>
  <c r="H13" i="7" s="1"/>
  <c r="I11" i="7"/>
  <c r="I13" i="7" s="1"/>
  <c r="J11" i="7"/>
  <c r="J13" i="7" s="1"/>
  <c r="J34" i="7" s="1"/>
  <c r="K11" i="7"/>
  <c r="K13" i="7" s="1"/>
  <c r="L11" i="7"/>
  <c r="L13" i="7" s="1"/>
  <c r="L34" i="7" s="1"/>
  <c r="M11" i="7"/>
  <c r="M13" i="7" s="1"/>
  <c r="M34" i="7" s="1"/>
  <c r="N11" i="7"/>
  <c r="N13" i="7" s="1"/>
  <c r="N34" i="7" s="1"/>
  <c r="M18" i="7" l="1"/>
  <c r="M35" i="7" s="1"/>
  <c r="L18" i="7"/>
  <c r="L35" i="7" s="1"/>
  <c r="H18" i="7"/>
  <c r="H34" i="7"/>
  <c r="I18" i="7"/>
  <c r="I34" i="7"/>
  <c r="G18" i="7"/>
  <c r="G34" i="7"/>
  <c r="K34" i="7"/>
  <c r="K18" i="7"/>
  <c r="K35" i="7" s="1"/>
  <c r="N18" i="7"/>
  <c r="N35" i="7" s="1"/>
  <c r="J18" i="7"/>
  <c r="I24" i="7" l="1"/>
  <c r="I28" i="7" s="1"/>
  <c r="I30" i="7" s="1"/>
  <c r="I35" i="7"/>
  <c r="L24" i="7"/>
  <c r="L28" i="7" s="1"/>
  <c r="L30" i="7" s="1"/>
  <c r="K24" i="7"/>
  <c r="K28" i="7" s="1"/>
  <c r="K30" i="7" s="1"/>
  <c r="J24" i="7"/>
  <c r="J28" i="7" s="1"/>
  <c r="J30" i="7" s="1"/>
  <c r="J35" i="7"/>
  <c r="M24" i="7"/>
  <c r="M28" i="7" s="1"/>
  <c r="M30" i="7" s="1"/>
  <c r="N24" i="7"/>
  <c r="N28" i="7" s="1"/>
  <c r="N30" i="7" s="1"/>
  <c r="G24" i="7"/>
  <c r="G28" i="7" s="1"/>
  <c r="G30" i="7" s="1"/>
  <c r="G35" i="7"/>
  <c r="H24" i="7"/>
  <c r="H28" i="7" s="1"/>
  <c r="H30" i="7" s="1"/>
  <c r="H35" i="7"/>
  <c r="N37" i="7" l="1"/>
  <c r="N36" i="7"/>
  <c r="K36" i="7"/>
  <c r="K37" i="7"/>
  <c r="H36" i="7"/>
  <c r="H37" i="7"/>
  <c r="M37" i="7"/>
  <c r="M36" i="7"/>
  <c r="L37" i="7"/>
  <c r="L36" i="7"/>
  <c r="G36" i="7"/>
  <c r="G37" i="7"/>
  <c r="J36" i="7"/>
  <c r="J37" i="7"/>
  <c r="I36" i="7"/>
  <c r="I37" i="7"/>
  <c r="N8" i="5"/>
  <c r="N12" i="5" s="1"/>
  <c r="N13" i="5" s="1"/>
  <c r="M8" i="5"/>
  <c r="M12" i="5" s="1"/>
  <c r="M13" i="5" s="1"/>
  <c r="K8" i="5"/>
  <c r="K12" i="5" s="1"/>
  <c r="J8" i="5"/>
  <c r="J12" i="5" s="1"/>
  <c r="J13" i="5" s="1"/>
  <c r="I8" i="5"/>
  <c r="I12" i="5" s="1"/>
  <c r="I13" i="5" s="1"/>
  <c r="H8" i="5"/>
  <c r="H12" i="5" s="1"/>
  <c r="G8" i="5"/>
  <c r="G12" i="5" s="1"/>
  <c r="N8" i="4"/>
  <c r="N12" i="4" s="1"/>
  <c r="N13" i="4" s="1"/>
  <c r="M8" i="4"/>
  <c r="M12" i="4" s="1"/>
  <c r="M13" i="4" s="1"/>
  <c r="K8" i="4"/>
  <c r="K12" i="4" s="1"/>
  <c r="J8" i="4"/>
  <c r="J12" i="4" s="1"/>
  <c r="J13" i="4" s="1"/>
  <c r="I8" i="4"/>
  <c r="I12" i="4" s="1"/>
  <c r="I17" i="4" s="1"/>
  <c r="H8" i="4"/>
  <c r="H12" i="4" s="1"/>
  <c r="G8" i="4"/>
  <c r="G12" i="4" s="1"/>
  <c r="N8" i="3"/>
  <c r="N12" i="3" s="1"/>
  <c r="M8" i="3"/>
  <c r="M12" i="3" s="1"/>
  <c r="K8" i="3"/>
  <c r="K12" i="3" s="1"/>
  <c r="K17" i="3" s="1"/>
  <c r="J8" i="3"/>
  <c r="J12" i="3" s="1"/>
  <c r="I8" i="3"/>
  <c r="I12" i="3" s="1"/>
  <c r="H8" i="3"/>
  <c r="H12" i="3" s="1"/>
  <c r="H13" i="3" s="1"/>
  <c r="G8" i="3"/>
  <c r="G12" i="3" s="1"/>
  <c r="G13" i="3" s="1"/>
  <c r="N8" i="2"/>
  <c r="N12" i="2" s="1"/>
  <c r="M8" i="2"/>
  <c r="M12" i="2" s="1"/>
  <c r="K8" i="2"/>
  <c r="K12" i="2" s="1"/>
  <c r="K17" i="2" s="1"/>
  <c r="J8" i="2"/>
  <c r="J12" i="2" s="1"/>
  <c r="I8" i="2"/>
  <c r="I12" i="2" s="1"/>
  <c r="H8" i="2"/>
  <c r="H12" i="2" s="1"/>
  <c r="H13" i="2" s="1"/>
  <c r="G8" i="2"/>
  <c r="G12" i="2" s="1"/>
  <c r="G13" i="2" s="1"/>
  <c r="N8" i="1"/>
  <c r="N12" i="1" s="1"/>
  <c r="M8" i="1"/>
  <c r="M12" i="1" s="1"/>
  <c r="M17" i="1" s="1"/>
  <c r="L8" i="1"/>
  <c r="L12" i="1" s="1"/>
  <c r="K8" i="1"/>
  <c r="J8" i="1"/>
  <c r="I8" i="1"/>
  <c r="H8" i="1"/>
  <c r="G8" i="1"/>
  <c r="K12" i="1" l="1"/>
  <c r="K13" i="1" s="1"/>
  <c r="G12" i="1"/>
  <c r="H12" i="1"/>
  <c r="H17" i="1" s="1"/>
  <c r="I12" i="1"/>
  <c r="J12" i="1"/>
  <c r="J17" i="1" s="1"/>
  <c r="G17" i="5"/>
  <c r="G13" i="5"/>
  <c r="K17" i="5"/>
  <c r="K13" i="5"/>
  <c r="H17" i="5"/>
  <c r="H13" i="5"/>
  <c r="N17" i="5"/>
  <c r="I17" i="5"/>
  <c r="M17" i="5"/>
  <c r="J17" i="5"/>
  <c r="I18" i="4"/>
  <c r="I24" i="4"/>
  <c r="I25" i="4" s="1"/>
  <c r="I17" i="3"/>
  <c r="I13" i="3"/>
  <c r="M13" i="3"/>
  <c r="M17" i="3"/>
  <c r="K24" i="3"/>
  <c r="K25" i="3" s="1"/>
  <c r="K18" i="3"/>
  <c r="G17" i="4"/>
  <c r="G13" i="4"/>
  <c r="K13" i="4"/>
  <c r="K17" i="4"/>
  <c r="J17" i="3"/>
  <c r="J13" i="3"/>
  <c r="N17" i="3"/>
  <c r="N13" i="3"/>
  <c r="H17" i="4"/>
  <c r="H13" i="4"/>
  <c r="G17" i="3"/>
  <c r="M17" i="4"/>
  <c r="M24" i="4" s="1"/>
  <c r="M25" i="4" s="1"/>
  <c r="N17" i="4"/>
  <c r="K13" i="3"/>
  <c r="I13" i="4"/>
  <c r="H17" i="3"/>
  <c r="J17" i="4"/>
  <c r="I13" i="2"/>
  <c r="I17" i="2"/>
  <c r="M13" i="2"/>
  <c r="M17" i="2"/>
  <c r="K18" i="2"/>
  <c r="K24" i="2"/>
  <c r="K25" i="2" s="1"/>
  <c r="J17" i="2"/>
  <c r="J13" i="2"/>
  <c r="N17" i="2"/>
  <c r="N13" i="2"/>
  <c r="G17" i="2"/>
  <c r="K13" i="2"/>
  <c r="H17" i="2"/>
  <c r="G17" i="1"/>
  <c r="G13" i="1"/>
  <c r="K17" i="1"/>
  <c r="L17" i="1"/>
  <c r="L13" i="1"/>
  <c r="N13" i="1"/>
  <c r="N17" i="1"/>
  <c r="N18" i="1" s="1"/>
  <c r="M24" i="1"/>
  <c r="M25" i="1" s="1"/>
  <c r="M18" i="1"/>
  <c r="M13" i="1"/>
  <c r="H13" i="1" l="1"/>
  <c r="I13" i="1"/>
  <c r="I17" i="1"/>
  <c r="I18" i="1" s="1"/>
  <c r="J13" i="1"/>
  <c r="I18" i="5"/>
  <c r="I24" i="5"/>
  <c r="I25" i="5" s="1"/>
  <c r="L24" i="5"/>
  <c r="L25" i="5" s="1"/>
  <c r="K24" i="5"/>
  <c r="K25" i="5" s="1"/>
  <c r="K18" i="5"/>
  <c r="J18" i="5"/>
  <c r="J24" i="5"/>
  <c r="J25" i="5" s="1"/>
  <c r="N18" i="5"/>
  <c r="N24" i="5"/>
  <c r="N25" i="5" s="1"/>
  <c r="H24" i="5"/>
  <c r="H25" i="5" s="1"/>
  <c r="H18" i="5"/>
  <c r="G24" i="5"/>
  <c r="G25" i="5" s="1"/>
  <c r="G18" i="5"/>
  <c r="M18" i="5"/>
  <c r="M24" i="5"/>
  <c r="M25" i="5" s="1"/>
  <c r="L24" i="4"/>
  <c r="L25" i="4" s="1"/>
  <c r="J18" i="4"/>
  <c r="J24" i="4"/>
  <c r="J25" i="4" s="1"/>
  <c r="N18" i="4"/>
  <c r="N24" i="4"/>
  <c r="N25" i="4" s="1"/>
  <c r="K24" i="4"/>
  <c r="K25" i="4" s="1"/>
  <c r="K18" i="4"/>
  <c r="L24" i="3"/>
  <c r="L25" i="3" s="1"/>
  <c r="M18" i="3"/>
  <c r="M24" i="3"/>
  <c r="M25" i="3" s="1"/>
  <c r="M18" i="4"/>
  <c r="N24" i="3"/>
  <c r="N25" i="3" s="1"/>
  <c r="N18" i="3"/>
  <c r="G24" i="4"/>
  <c r="G25" i="4" s="1"/>
  <c r="G18" i="4"/>
  <c r="H18" i="3"/>
  <c r="H24" i="3"/>
  <c r="H25" i="3" s="1"/>
  <c r="G18" i="3"/>
  <c r="G24" i="3"/>
  <c r="G25" i="3" s="1"/>
  <c r="H24" i="4"/>
  <c r="H25" i="4" s="1"/>
  <c r="H18" i="4"/>
  <c r="J24" i="3"/>
  <c r="J25" i="3" s="1"/>
  <c r="J18" i="3"/>
  <c r="I18" i="3"/>
  <c r="I24" i="3"/>
  <c r="I25" i="3" s="1"/>
  <c r="L24" i="2"/>
  <c r="L25" i="2" s="1"/>
  <c r="G18" i="2"/>
  <c r="G24" i="2"/>
  <c r="G25" i="2" s="1"/>
  <c r="J24" i="2"/>
  <c r="J25" i="2" s="1"/>
  <c r="J18" i="2"/>
  <c r="M18" i="2"/>
  <c r="M24" i="2"/>
  <c r="M25" i="2" s="1"/>
  <c r="H18" i="2"/>
  <c r="H24" i="2"/>
  <c r="H25" i="2" s="1"/>
  <c r="I18" i="2"/>
  <c r="I24" i="2"/>
  <c r="I25" i="2" s="1"/>
  <c r="N24" i="2"/>
  <c r="N25" i="2" s="1"/>
  <c r="N18" i="2"/>
  <c r="G24" i="1"/>
  <c r="G25" i="1" s="1"/>
  <c r="G18" i="1"/>
  <c r="K24" i="1"/>
  <c r="K25" i="1" s="1"/>
  <c r="K18" i="1"/>
  <c r="J18" i="1"/>
  <c r="J24" i="1"/>
  <c r="J25" i="1" s="1"/>
  <c r="N24" i="1"/>
  <c r="N25" i="1" s="1"/>
  <c r="H24" i="1"/>
  <c r="H25" i="1" s="1"/>
  <c r="H18" i="1"/>
  <c r="L24" i="1"/>
  <c r="L25" i="1" s="1"/>
  <c r="L18" i="1"/>
  <c r="I24" i="1" l="1"/>
  <c r="I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Tor Eirik Knutsen</author>
    <author>Bjorn Kleven</author>
  </authors>
  <commentList>
    <comment ref="I15" authorId="0" shapeId="0" xr:uid="{00000000-0006-0000-0000-000001000000}">
      <text>
        <r>
          <rPr>
            <b/>
            <sz val="9"/>
            <color indexed="81"/>
            <rFont val="Tahoma"/>
            <family val="2"/>
          </rPr>
          <t>Tor Eirik Knutsen:</t>
        </r>
        <r>
          <rPr>
            <sz val="9"/>
            <color indexed="81"/>
            <rFont val="Tahoma"/>
            <family val="2"/>
          </rPr>
          <t xml:space="preserve">
Includes NPRA settlement of 27,823 MNOK. See Q3-17 report for further explanation</t>
        </r>
      </text>
    </comment>
    <comment ref="N15" authorId="1" shapeId="0" xr:uid="{00000000-0006-0000-0000-000002000000}">
      <text>
        <r>
          <rPr>
            <b/>
            <sz val="9"/>
            <color indexed="81"/>
            <rFont val="Tahoma"/>
            <family val="2"/>
          </rPr>
          <t>Bjorn Kleven:</t>
        </r>
        <r>
          <rPr>
            <sz val="9"/>
            <color indexed="81"/>
            <rFont val="Tahoma"/>
            <family val="2"/>
          </rPr>
          <t xml:space="preserve">
Includes 13.46 MNOK Jakarta close down costs, See explanation Q4-18 report.</t>
        </r>
      </text>
    </comment>
    <comment ref="X15" authorId="1" shapeId="0" xr:uid="{00000000-0006-0000-0000-000003000000}">
      <text>
        <r>
          <rPr>
            <b/>
            <sz val="9"/>
            <color indexed="81"/>
            <rFont val="Tahoma"/>
            <family val="2"/>
          </rPr>
          <t>Bjorn Kleven:</t>
        </r>
        <r>
          <rPr>
            <sz val="9"/>
            <color indexed="81"/>
            <rFont val="Tahoma"/>
            <family val="2"/>
          </rPr>
          <t xml:space="preserve">
Includes 13.46 MNOK Jakarta close down costs, See explanation Q4-18 report.</t>
        </r>
      </text>
    </comment>
    <comment ref="X59" authorId="1" shapeId="0" xr:uid="{00000000-0006-0000-0000-000004000000}">
      <text>
        <r>
          <rPr>
            <b/>
            <sz val="9"/>
            <color indexed="81"/>
            <rFont val="Tahoma"/>
            <family val="2"/>
          </rPr>
          <t>Bjorn Kleven:</t>
        </r>
        <r>
          <rPr>
            <sz val="9"/>
            <color indexed="81"/>
            <rFont val="Tahoma"/>
            <family val="2"/>
          </rPr>
          <t xml:space="preserve">
Includes 13.46 MNOK Jakarta close down costs, See explanation Q4-18 report.</t>
        </r>
      </text>
    </comment>
    <comment ref="Z59" authorId="1" shapeId="0" xr:uid="{00000000-0006-0000-0000-000005000000}">
      <text>
        <r>
          <rPr>
            <b/>
            <sz val="9"/>
            <color indexed="81"/>
            <rFont val="Tahoma"/>
            <family val="2"/>
          </rPr>
          <t>Bjorn Kleven:</t>
        </r>
        <r>
          <rPr>
            <sz val="9"/>
            <color indexed="81"/>
            <rFont val="Tahoma"/>
            <family val="2"/>
          </rPr>
          <t xml:space="preserve">
Includes 13.46 MNOK Jakarta close down costs, See explanation Q4-18 report.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Tor Eirik Knutsen</author>
    <author>Bjorn Kleven</author>
  </authors>
  <commentList>
    <comment ref="I15" authorId="0" shapeId="0" xr:uid="{00000000-0006-0000-0200-000001000000}">
      <text>
        <r>
          <rPr>
            <b/>
            <sz val="9"/>
            <color indexed="81"/>
            <rFont val="Tahoma"/>
            <family val="2"/>
          </rPr>
          <t>Tor Eirik Knutsen:</t>
        </r>
        <r>
          <rPr>
            <sz val="9"/>
            <color indexed="81"/>
            <rFont val="Tahoma"/>
            <family val="2"/>
          </rPr>
          <t xml:space="preserve">
Includes NPRA settlement of 27,823 MNOK. See Q3-17 report for further explanation</t>
        </r>
      </text>
    </comment>
    <comment ref="N15" authorId="1" shapeId="0" xr:uid="{00000000-0006-0000-0200-000002000000}">
      <text>
        <r>
          <rPr>
            <b/>
            <sz val="9"/>
            <color indexed="81"/>
            <rFont val="Tahoma"/>
            <family val="2"/>
          </rPr>
          <t>Bjorn Kleven:</t>
        </r>
        <r>
          <rPr>
            <sz val="9"/>
            <color indexed="81"/>
            <rFont val="Tahoma"/>
            <family val="2"/>
          </rPr>
          <t xml:space="preserve">
Includes 13.46 MNOK Jakarta close down costs, See explanation Q4-18 report.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Tor Eirik Knutsen</author>
  </authors>
  <commentList>
    <comment ref="L15" authorId="0" shapeId="0" xr:uid="{00000000-0006-0000-0300-000001000000}">
      <text>
        <r>
          <rPr>
            <b/>
            <sz val="9"/>
            <color indexed="81"/>
            <rFont val="Tahoma"/>
            <family val="2"/>
          </rPr>
          <t>Tor Eirik Knutsen:</t>
        </r>
        <r>
          <rPr>
            <sz val="9"/>
            <color indexed="81"/>
            <rFont val="Tahoma"/>
            <family val="2"/>
          </rPr>
          <t xml:space="preserve">
Includes 2,5 MNOK close down costs Malta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Tor Eirik Knutsen</author>
  </authors>
  <commentList>
    <comment ref="K15" authorId="0" shapeId="0" xr:uid="{00000000-0006-0000-0500-000001000000}">
      <text>
        <r>
          <rPr>
            <b/>
            <sz val="9"/>
            <color indexed="81"/>
            <rFont val="Tahoma"/>
            <family val="2"/>
          </rPr>
          <t>Tor Eirik Knutsen:</t>
        </r>
        <r>
          <rPr>
            <sz val="9"/>
            <color indexed="81"/>
            <rFont val="Tahoma"/>
            <family val="2"/>
          </rPr>
          <t xml:space="preserve">
Includes 1,85 MNOK close down cost Serbia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Tor Eirik Knutsen</author>
    <author>Elisabeth Strypet</author>
  </authors>
  <commentList>
    <comment ref="I10" authorId="0" shapeId="0" xr:uid="{00000000-0006-0000-0900-000001000000}">
      <text>
        <r>
          <rPr>
            <b/>
            <sz val="9"/>
            <color indexed="81"/>
            <rFont val="Tahoma"/>
            <family val="2"/>
          </rPr>
          <t>Tor Eirik Knutsen:</t>
        </r>
        <r>
          <rPr>
            <sz val="9"/>
            <color indexed="81"/>
            <rFont val="Tahoma"/>
            <family val="2"/>
          </rPr>
          <t xml:space="preserve">
Includes 27,823 MNOK in settlement with NPRA. See Q3-17 report for more detailed explanation.</t>
        </r>
      </text>
    </comment>
    <comment ref="K10" authorId="0" shapeId="0" xr:uid="{00000000-0006-0000-0900-000002000000}">
      <text>
        <r>
          <rPr>
            <b/>
            <sz val="9"/>
            <color indexed="81"/>
            <rFont val="Tahoma"/>
            <family val="2"/>
          </rPr>
          <t>Tor Eirik Knutsen:</t>
        </r>
        <r>
          <rPr>
            <sz val="9"/>
            <color indexed="81"/>
            <rFont val="Tahoma"/>
            <family val="2"/>
          </rPr>
          <t xml:space="preserve">
Includes 1,85 MNOK close down costs Serbia</t>
        </r>
      </text>
    </comment>
    <comment ref="L10" authorId="0" shapeId="0" xr:uid="{00000000-0006-0000-0900-000003000000}">
      <text>
        <r>
          <rPr>
            <b/>
            <sz val="9"/>
            <color indexed="81"/>
            <rFont val="Tahoma"/>
            <family val="2"/>
          </rPr>
          <t>Tor Eirik Knutsen:</t>
        </r>
        <r>
          <rPr>
            <sz val="9"/>
            <color indexed="81"/>
            <rFont val="Tahoma"/>
            <family val="2"/>
          </rPr>
          <t xml:space="preserve">
Includes 2,5 MNOK close down cost Malta</t>
        </r>
      </text>
    </comment>
    <comment ref="N10" authorId="0" shapeId="0" xr:uid="{00000000-0006-0000-0900-000004000000}">
      <text>
        <r>
          <rPr>
            <b/>
            <sz val="9"/>
            <color indexed="81"/>
            <rFont val="Tahoma"/>
            <family val="2"/>
          </rPr>
          <t>Tor Eirik Knutsen:</t>
        </r>
        <r>
          <rPr>
            <sz val="9"/>
            <color indexed="81"/>
            <rFont val="Tahoma"/>
            <family val="2"/>
          </rPr>
          <t xml:space="preserve">
Includes 13,46 MNOK close down cost Jakarta</t>
        </r>
      </text>
    </comment>
    <comment ref="O15" authorId="1" shapeId="0" xr:uid="{00000000-0006-0000-0900-000005000000}">
      <text>
        <r>
          <rPr>
            <b/>
            <sz val="9"/>
            <color indexed="81"/>
            <rFont val="Tahoma"/>
            <family val="2"/>
          </rPr>
          <t>Elisabeth Strypet:</t>
        </r>
        <r>
          <rPr>
            <sz val="9"/>
            <color indexed="81"/>
            <rFont val="Tahoma"/>
            <family val="2"/>
          </rPr>
          <t xml:space="preserve">
Includes MNOK 4,99 in depreciation Right-of-Use assets (IFRS 16)</t>
        </r>
      </text>
    </comment>
    <comment ref="O21" authorId="1" shapeId="0" xr:uid="{00000000-0006-0000-0900-000006000000}">
      <text>
        <r>
          <rPr>
            <b/>
            <sz val="9"/>
            <color indexed="81"/>
            <rFont val="Tahoma"/>
            <family val="2"/>
          </rPr>
          <t>Elisabeth Strypet:</t>
        </r>
        <r>
          <rPr>
            <sz val="9"/>
            <color indexed="81"/>
            <rFont val="Tahoma"/>
            <family val="2"/>
          </rPr>
          <t xml:space="preserve">
Includes MNOK 0,73 in IFRS 16 Lease liability expense.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Elisabeth Strypet</author>
    <author>Tor Eirik Knutsen</author>
  </authors>
  <commentList>
    <comment ref="O9" authorId="0" shapeId="0" xr:uid="{00000000-0006-0000-0A00-000001000000}">
      <text>
        <r>
          <rPr>
            <b/>
            <sz val="9"/>
            <color indexed="81"/>
            <rFont val="Tahoma"/>
            <family val="2"/>
          </rPr>
          <t>Elisabeth Strypet:</t>
        </r>
        <r>
          <rPr>
            <sz val="9"/>
            <color indexed="81"/>
            <rFont val="Tahoma"/>
            <family val="2"/>
          </rPr>
          <t xml:space="preserve">
IFRS 16 Right-of-use Assets MNOK 60.</t>
        </r>
      </text>
    </comment>
    <comment ref="O32" authorId="0" shapeId="0" xr:uid="{00000000-0006-0000-0A00-000002000000}">
      <text>
        <r>
          <rPr>
            <b/>
            <sz val="9"/>
            <color indexed="81"/>
            <rFont val="Tahoma"/>
            <family val="2"/>
          </rPr>
          <t>Elisabeth Strypet:</t>
        </r>
        <r>
          <rPr>
            <sz val="9"/>
            <color indexed="81"/>
            <rFont val="Tahoma"/>
            <family val="2"/>
          </rPr>
          <t xml:space="preserve">
IFRS 16 Non-current lease liability MNOK 37.</t>
        </r>
      </text>
    </comment>
    <comment ref="O42" authorId="0" shapeId="0" xr:uid="{00000000-0006-0000-0A00-000003000000}">
      <text>
        <r>
          <rPr>
            <b/>
            <sz val="9"/>
            <color indexed="81"/>
            <rFont val="Tahoma"/>
            <family val="2"/>
          </rPr>
          <t>Elisabeth Strypet:</t>
        </r>
        <r>
          <rPr>
            <sz val="9"/>
            <color indexed="81"/>
            <rFont val="Tahoma"/>
            <family val="2"/>
          </rPr>
          <t xml:space="preserve">
IFRS 16 Current lease liability MNOK 20.</t>
        </r>
      </text>
    </comment>
    <comment ref="C50" authorId="0" shapeId="0" xr:uid="{00000000-0006-0000-0A00-000004000000}">
      <text>
        <r>
          <rPr>
            <b/>
            <sz val="9"/>
            <color indexed="81"/>
            <rFont val="Tahoma"/>
            <family val="2"/>
          </rPr>
          <t>Elisabeth Strypet:</t>
        </r>
        <r>
          <rPr>
            <sz val="9"/>
            <color indexed="81"/>
            <rFont val="Tahoma"/>
            <family val="2"/>
          </rPr>
          <t xml:space="preserve">
Traffic Design d.o.o., TDC Systems Ltd., Open Roads Consulting Inc.</t>
        </r>
      </text>
    </comment>
    <comment ref="D50" authorId="0" shapeId="0" xr:uid="{00000000-0006-0000-0A00-000005000000}">
      <text>
        <r>
          <rPr>
            <b/>
            <sz val="9"/>
            <color indexed="81"/>
            <rFont val="Tahoma"/>
            <family val="2"/>
          </rPr>
          <t>Elisabeth Strypet:</t>
        </r>
        <r>
          <rPr>
            <sz val="9"/>
            <color indexed="81"/>
            <rFont val="Tahoma"/>
            <family val="2"/>
          </rPr>
          <t xml:space="preserve">
Open Roads Consulting Inc.</t>
        </r>
      </text>
    </comment>
    <comment ref="E50" authorId="0" shapeId="0" xr:uid="{00000000-0006-0000-0A00-000006000000}">
      <text>
        <r>
          <rPr>
            <b/>
            <sz val="9"/>
            <color indexed="81"/>
            <rFont val="Tahoma"/>
            <family val="2"/>
          </rPr>
          <t>Elisabeth Strypet:</t>
        </r>
        <r>
          <rPr>
            <sz val="9"/>
            <color indexed="81"/>
            <rFont val="Tahoma"/>
            <family val="2"/>
          </rPr>
          <t xml:space="preserve">
Open Roads Consulting Inc.</t>
        </r>
      </text>
    </comment>
    <comment ref="J50" authorId="1" shapeId="0" xr:uid="{00000000-0006-0000-0A00-000007000000}">
      <text>
        <r>
          <rPr>
            <b/>
            <sz val="9"/>
            <color indexed="81"/>
            <rFont val="Tahoma"/>
            <family val="2"/>
          </rPr>
          <t>Tor Eirik Knutsen:</t>
        </r>
        <r>
          <rPr>
            <sz val="9"/>
            <color indexed="81"/>
            <rFont val="Tahoma"/>
            <family val="2"/>
          </rPr>
          <t xml:space="preserve">
Intelight Inc</t>
        </r>
      </text>
    </comment>
    <comment ref="K50" authorId="1" shapeId="0" xr:uid="{00000000-0006-0000-0A00-000008000000}">
      <text>
        <r>
          <rPr>
            <b/>
            <sz val="9"/>
            <color indexed="81"/>
            <rFont val="Tahoma"/>
            <family val="2"/>
          </rPr>
          <t>Tor Eirik Knutsen:</t>
        </r>
        <r>
          <rPr>
            <sz val="9"/>
            <color indexed="81"/>
            <rFont val="Tahoma"/>
            <family val="2"/>
          </rPr>
          <t xml:space="preserve">
Intelight Inc.
</t>
        </r>
      </text>
    </comment>
    <comment ref="L50" authorId="1" shapeId="0" xr:uid="{00000000-0006-0000-0A00-000009000000}">
      <text>
        <r>
          <rPr>
            <b/>
            <sz val="9"/>
            <color indexed="81"/>
            <rFont val="Tahoma"/>
            <family val="2"/>
          </rPr>
          <t>Tor Eirik Knutsen:</t>
        </r>
        <r>
          <rPr>
            <sz val="9"/>
            <color indexed="81"/>
            <rFont val="Tahoma"/>
            <family val="2"/>
          </rPr>
          <t xml:space="preserve">
Intelight Inc.</t>
        </r>
      </text>
    </comment>
    <comment ref="M50" authorId="1" shapeId="0" xr:uid="{00000000-0006-0000-0A00-00000A000000}">
      <text>
        <r>
          <rPr>
            <b/>
            <sz val="9"/>
            <color indexed="81"/>
            <rFont val="Tahoma"/>
            <family val="2"/>
          </rPr>
          <t>Tor Eirik Knutsen:</t>
        </r>
        <r>
          <rPr>
            <sz val="9"/>
            <color indexed="81"/>
            <rFont val="Tahoma"/>
            <family val="2"/>
          </rPr>
          <t xml:space="preserve">
Intelight Inc.</t>
        </r>
      </text>
    </comment>
    <comment ref="N50" authorId="1" shapeId="0" xr:uid="{00000000-0006-0000-0A00-00000B000000}">
      <text>
        <r>
          <rPr>
            <b/>
            <sz val="9"/>
            <color indexed="81"/>
            <rFont val="Tahoma"/>
            <family val="2"/>
          </rPr>
          <t>Tor Eirik Knutsen:</t>
        </r>
        <r>
          <rPr>
            <sz val="9"/>
            <color indexed="81"/>
            <rFont val="Tahoma"/>
            <family val="2"/>
          </rPr>
          <t xml:space="preserve">
Intelight Inc.</t>
        </r>
      </text>
    </comment>
    <comment ref="O50" authorId="1" shapeId="0" xr:uid="{00000000-0006-0000-0A00-00000C000000}">
      <text>
        <r>
          <rPr>
            <b/>
            <sz val="9"/>
            <color indexed="81"/>
            <rFont val="Tahoma"/>
            <family val="2"/>
          </rPr>
          <t>Tor Eirik Knutsen:</t>
        </r>
        <r>
          <rPr>
            <sz val="9"/>
            <color indexed="81"/>
            <rFont val="Tahoma"/>
            <family val="2"/>
          </rPr>
          <t xml:space="preserve">
Intelight Inc.
</t>
        </r>
      </text>
    </comment>
    <comment ref="P50" authorId="1" shapeId="0" xr:uid="{00000000-0006-0000-0A00-00000D000000}">
      <text>
        <r>
          <rPr>
            <b/>
            <sz val="9"/>
            <color indexed="81"/>
            <rFont val="Tahoma"/>
            <family val="2"/>
          </rPr>
          <t>Tor Eirik Knutsen:</t>
        </r>
        <r>
          <rPr>
            <sz val="9"/>
            <color indexed="81"/>
            <rFont val="Tahoma"/>
            <family val="2"/>
          </rPr>
          <t xml:space="preserve">
Intelight Inc.</t>
        </r>
      </text>
    </comment>
    <comment ref="Q50" authorId="1" shapeId="0" xr:uid="{00000000-0006-0000-0A00-00000E000000}">
      <text>
        <r>
          <rPr>
            <b/>
            <sz val="9"/>
            <color indexed="81"/>
            <rFont val="Tahoma"/>
            <family val="2"/>
          </rPr>
          <t>Tor Eirik Knutsen:</t>
        </r>
        <r>
          <rPr>
            <sz val="9"/>
            <color indexed="81"/>
            <rFont val="Tahoma"/>
            <family val="2"/>
          </rPr>
          <t xml:space="preserve">
Intelight Inc.</t>
        </r>
      </text>
    </comment>
    <comment ref="R50" authorId="1" shapeId="0" xr:uid="{00000000-0006-0000-0A00-00000F000000}">
      <text>
        <r>
          <rPr>
            <b/>
            <sz val="9"/>
            <color indexed="81"/>
            <rFont val="Tahoma"/>
            <family val="2"/>
          </rPr>
          <t>Tor Eirik Knutsen:</t>
        </r>
        <r>
          <rPr>
            <sz val="9"/>
            <color indexed="81"/>
            <rFont val="Tahoma"/>
            <family val="2"/>
          </rPr>
          <t xml:space="preserve">
Intelight Inc.</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Elisabeth Strypet</author>
  </authors>
  <commentList>
    <comment ref="O33" authorId="0" shapeId="0" xr:uid="{00000000-0006-0000-0B00-000001000000}">
      <text>
        <r>
          <rPr>
            <b/>
            <sz val="9"/>
            <color indexed="81"/>
            <rFont val="Tahoma"/>
            <family val="2"/>
          </rPr>
          <t>Elisabeth Strypet:</t>
        </r>
        <r>
          <rPr>
            <sz val="9"/>
            <color indexed="81"/>
            <rFont val="Tahoma"/>
            <family val="2"/>
          </rPr>
          <t xml:space="preserve">
IFRS 16 principle payments lease liabilities.</t>
        </r>
      </text>
    </comment>
  </commentList>
</comments>
</file>

<file path=xl/sharedStrings.xml><?xml version="1.0" encoding="utf-8"?>
<sst xmlns="http://schemas.openxmlformats.org/spreadsheetml/2006/main" count="514" uniqueCount="152">
  <si>
    <t>TOLLING</t>
  </si>
  <si>
    <t>(TNOK)</t>
  </si>
  <si>
    <t>Q1</t>
  </si>
  <si>
    <t>Q2</t>
  </si>
  <si>
    <t>Q3</t>
  </si>
  <si>
    <t>Q4</t>
  </si>
  <si>
    <t>EUROPE</t>
  </si>
  <si>
    <t>APMEA</t>
  </si>
  <si>
    <t>AMERICAS</t>
  </si>
  <si>
    <t>Revenues</t>
  </si>
  <si>
    <t>Cost of goods sold</t>
  </si>
  <si>
    <t>Contractors</t>
  </si>
  <si>
    <t>Gross contribution</t>
  </si>
  <si>
    <t>Gross margin - %</t>
  </si>
  <si>
    <t xml:space="preserve">Operating expenses </t>
  </si>
  <si>
    <t>EBITDA</t>
  </si>
  <si>
    <t>EBITDA margin</t>
  </si>
  <si>
    <t>Depreciation</t>
  </si>
  <si>
    <t>Amortization of intangible assets</t>
  </si>
  <si>
    <t>Impairment</t>
  </si>
  <si>
    <t>EBIT</t>
  </si>
  <si>
    <t>EBIT margin</t>
  </si>
  <si>
    <t>Please note - As a result of rounding differences, numbers or percentages may not add up to the total.</t>
  </si>
  <si>
    <t>PARKING</t>
  </si>
  <si>
    <t>INFOMOBILITY</t>
  </si>
  <si>
    <t>URBAN</t>
  </si>
  <si>
    <t>INTER-URBAN</t>
  </si>
  <si>
    <t>Q-Free Group</t>
  </si>
  <si>
    <t>CONSOLIDATED INCOME STATEMENT</t>
  </si>
  <si>
    <t xml:space="preserve">Cost of goods sold </t>
  </si>
  <si>
    <t>Other operating expenses</t>
  </si>
  <si>
    <t xml:space="preserve">Total operating expenses </t>
  </si>
  <si>
    <t>Depreciation and amortisation</t>
  </si>
  <si>
    <t>Financial income</t>
  </si>
  <si>
    <t>Financial expenses</t>
  </si>
  <si>
    <t>Net financial items</t>
  </si>
  <si>
    <t>Profit before tax</t>
  </si>
  <si>
    <t>Tax expenses</t>
  </si>
  <si>
    <t>Profit after tax from continuing operations</t>
  </si>
  <si>
    <t>Profit after tax on discontinued operations</t>
  </si>
  <si>
    <t>EPS (NOK)</t>
  </si>
  <si>
    <t>EPS, diluted (NOK)</t>
  </si>
  <si>
    <t xml:space="preserve"> EBITDA</t>
  </si>
  <si>
    <t xml:space="preserve"> EBIT</t>
  </si>
  <si>
    <t>Gross margin</t>
  </si>
  <si>
    <t>Average number of shares</t>
  </si>
  <si>
    <t>Average number of shares diluted</t>
  </si>
  <si>
    <t xml:space="preserve">Goodwill </t>
  </si>
  <si>
    <t xml:space="preserve">Deferred tax assets </t>
  </si>
  <si>
    <t xml:space="preserve">Total non - current assets </t>
  </si>
  <si>
    <t>Inventories</t>
  </si>
  <si>
    <t>Contract assets</t>
  </si>
  <si>
    <t>Total current assets</t>
  </si>
  <si>
    <t>Assets held for sale</t>
  </si>
  <si>
    <t>Cash and cash equivalents</t>
  </si>
  <si>
    <t>Total assets</t>
  </si>
  <si>
    <t>31 Mar</t>
  </si>
  <si>
    <t>30 Jun</t>
  </si>
  <si>
    <t>30 Sep</t>
  </si>
  <si>
    <t>31 Dec</t>
  </si>
  <si>
    <t>Subscribed share capital</t>
  </si>
  <si>
    <t>Total equity</t>
  </si>
  <si>
    <t>Pension liabilities</t>
  </si>
  <si>
    <t>Total non-current liabilities</t>
  </si>
  <si>
    <t>Accounts payable</t>
  </si>
  <si>
    <t>Public duties payable</t>
  </si>
  <si>
    <t>Total current liabilities</t>
  </si>
  <si>
    <t>Liabilities held for sale</t>
  </si>
  <si>
    <t>Total equity and liabilities</t>
  </si>
  <si>
    <t>Equity ratio</t>
  </si>
  <si>
    <t>Net interest bearing debt</t>
  </si>
  <si>
    <t>CASH FLOW</t>
  </si>
  <si>
    <t>Paid taxes</t>
  </si>
  <si>
    <t>Pension cost without cash flow effect</t>
  </si>
  <si>
    <t>Shares valued at fair value</t>
  </si>
  <si>
    <t>Working capital adjustments:</t>
  </si>
  <si>
    <t>Changes in inventory</t>
  </si>
  <si>
    <t>Changes in contract assets</t>
  </si>
  <si>
    <t>Net cash flow from operations</t>
  </si>
  <si>
    <t>Investments in intangible assets</t>
  </si>
  <si>
    <t>Investments in tangible assets</t>
  </si>
  <si>
    <t>Acquisition of a subsidiary, net of cash acquired</t>
  </si>
  <si>
    <t>Cash flow from discontinued operations</t>
  </si>
  <si>
    <t>Net cash flow from investments</t>
  </si>
  <si>
    <t>Share issue</t>
  </si>
  <si>
    <t>Other financial items</t>
  </si>
  <si>
    <t>Transferred to Assets held for sale</t>
  </si>
  <si>
    <t xml:space="preserve">Amortisation and impairment of intangibles </t>
  </si>
  <si>
    <t>BALANCE SHEET</t>
  </si>
  <si>
    <t>Total</t>
  </si>
  <si>
    <t>Cost of goods sold (freight)</t>
  </si>
  <si>
    <t>Cost of goods sold (contractors)</t>
  </si>
  <si>
    <t>Other operating expenses (freight)</t>
  </si>
  <si>
    <t>Other operating exenses (contractors)</t>
  </si>
  <si>
    <t>FINANCIAL ITEMS</t>
  </si>
  <si>
    <t>Realised agio / disagio</t>
  </si>
  <si>
    <t>Unrealised agio / disagio</t>
  </si>
  <si>
    <t>Currency effects earn-out</t>
  </si>
  <si>
    <t>Change in other liabilities *</t>
  </si>
  <si>
    <t>Other financial income</t>
  </si>
  <si>
    <t>Other financial expenses</t>
  </si>
  <si>
    <t>Total financial items</t>
  </si>
  <si>
    <t>Share purchase liability (part of Other short term debt)</t>
  </si>
  <si>
    <t>Net working capital excl debt to financial institutions and share purchase liability</t>
  </si>
  <si>
    <t>Reported Q's</t>
  </si>
  <si>
    <t>Total SEGMENTS</t>
  </si>
  <si>
    <t>Avvik</t>
  </si>
  <si>
    <t>Totals FY</t>
  </si>
  <si>
    <t>Depr. &amp; Amort.</t>
  </si>
  <si>
    <t>Depr &amp; amort</t>
  </si>
  <si>
    <t>Global functions</t>
  </si>
  <si>
    <t>Intangible assets</t>
  </si>
  <si>
    <t>Property, plant and equipment</t>
  </si>
  <si>
    <t>Investments in other companies</t>
  </si>
  <si>
    <t>Non-current receivables</t>
  </si>
  <si>
    <t>Accounts receivable</t>
  </si>
  <si>
    <t>Other current assets</t>
  </si>
  <si>
    <t>Share premium</t>
  </si>
  <si>
    <t>Other paid-in capital</t>
  </si>
  <si>
    <t>Retained earnings</t>
  </si>
  <si>
    <t>Non-current borrowings</t>
  </si>
  <si>
    <t>Non-current financial liabilities</t>
  </si>
  <si>
    <t>Deferred tax liabilities</t>
  </si>
  <si>
    <t>Current borrowings</t>
  </si>
  <si>
    <t>Advance payments from customers</t>
  </si>
  <si>
    <t>Taxes payable</t>
  </si>
  <si>
    <t>Current financial liabilities</t>
  </si>
  <si>
    <t>Other current liabilities</t>
  </si>
  <si>
    <t>Total operating revenue</t>
  </si>
  <si>
    <t>Project contractor expenses</t>
  </si>
  <si>
    <t>Employee benefit expenses</t>
  </si>
  <si>
    <t>Profit / (-) loss for the period</t>
  </si>
  <si>
    <t>The presentation of the consolidated financial statements is changed in 2018. Project contractor expenses defined as external consultants and/or services that are consumed under project executions and service and maintenance are now presented separately in the financial statements. Project contracor expenses was previously reported under Other operating expenses and Cost of goods sold. 
The table above shows the changes regarding reclassification in historical figures. 
Please note - As a result of rounding differences, numbers or percentages may not add up to the total. Difference between total segment numbers and the consolidated income statement explained by Global Functions.</t>
  </si>
  <si>
    <t>Project contracor expenses</t>
  </si>
  <si>
    <t>Accrued interest expense</t>
  </si>
  <si>
    <t>Share-based payment expense</t>
  </si>
  <si>
    <t>Changes in accounts receivable</t>
  </si>
  <si>
    <t>Changes in advance payments from customers</t>
  </si>
  <si>
    <t>Depreciation and impairment of property, plant and equipment</t>
  </si>
  <si>
    <t>Changes in accounts payable</t>
  </si>
  <si>
    <t>Changes in other items</t>
  </si>
  <si>
    <t>Cash proceeds from borrowings</t>
  </si>
  <si>
    <t>Repayment of borrowings</t>
  </si>
  <si>
    <t>Net cash flow from financing activities</t>
  </si>
  <si>
    <t>Effect on cash and cash equivalents of changes in foreign exchange rates</t>
  </si>
  <si>
    <t>Net change in cash and cash equivalents for the period</t>
  </si>
  <si>
    <t>Cash and cash equivalents beginning of period</t>
  </si>
  <si>
    <t>CASH AND CASH EQUIVALENTS END OF PERIOD</t>
  </si>
  <si>
    <t xml:space="preserve">The presentation of the consolidated financial statements is changed in 2018. Project contractor expenses defined as external consultants and/or services that are consumed under project executions and service and maintenance are now presented separately in the financial statements. Project contracor expenses was previously reported under Other operating expenses and Cost of goods sold. 
The table above shows the changes regarding reclassification in historical figures. </t>
  </si>
  <si>
    <t>RECLASSIFICATION OF PROJECT CONTRACTOR EXPENSES FROM OPEX AND COGS</t>
  </si>
  <si>
    <t>* Change in other liabilities consist of changes in earn-out obligations, revised estimate on liability for purchase of remaining shares on Intelight Inc and liability related to pension schemes. See note 11 and 29 in the Annual Repot 2018 for further information.</t>
  </si>
  <si>
    <t>The cash flows from discontinued operations are only cash flows from external transactions. Hence, the cash flows presented for discontinued operations do not reflect these operations as if they were stand alone entities. See note 32 in the Annual Report 2018 for further information.
Effect on cash and cash equivalents of changes in foreign exchange rates for 2016 and 2017 are included in Net cash flow from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</si>
</sst>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_(* #,##0_);_(* \(#,##0\);_(* &quot;-&quot;??_);_(@_)"/>
    <numFmt numFmtId="166" formatCode="_(* #,##0.00_);_(* \(#,##0.00\);_(* &quot;-&quot;??_);_(@_)"/>
    <numFmt numFmtId="167" formatCode="#,##0.0"/>
    <numFmt numFmtId="168" formatCode="_-* #,##0_-;\-* #,##0_-;_-* &quot;-&quot;??_-;_-@_-"/>
    <numFmt numFmtId="169" formatCode="0.0"/>
    <numFmt numFmtId="170" formatCode="_(* #,##0.000_);_(* \(#,##0.000\);_(* &quot;-&quot;??_);_(@_)"/>
    <numFmt numFmtId="171" formatCode="#,##0_ ;[Red]\-#,##0\ "/>
    <numFmt numFmtId="172" formatCode="0.0\ %"/>
    <numFmt numFmtId="173" formatCode="#,##0_ ;\-#,##0\ "/>
  </numFmts>
  <fonts count="18">
    <font>
      <sz val="11"/>
      <color theme="1"/>
      <name val="Calibri"/>
      <family val="2"/>
      <scheme val="minor"/>
    </font>
    <font>
      <sz val="11"/>
      <color theme="1"/>
      <name val="Calibri"/>
      <family val="2"/>
      <scheme val="minor"/>
    </font>
    <font>
      <sz val="12"/>
      <name val="Palatino"/>
      <family val="1"/>
    </font>
    <font>
      <b/>
      <sz val="12"/>
      <color indexed="9"/>
      <name val="Arial"/>
      <family val="2"/>
    </font>
    <font>
      <sz val="12"/>
      <name val="Arial"/>
      <family val="2"/>
    </font>
    <font>
      <sz val="10"/>
      <name val="Arial"/>
      <family val="2"/>
    </font>
    <font>
      <b/>
      <sz val="12"/>
      <name val="Arial"/>
      <family val="2"/>
    </font>
    <font>
      <sz val="7"/>
      <color theme="1"/>
      <name val="Arial"/>
      <family val="2"/>
    </font>
    <font>
      <sz val="9"/>
      <name val="Arial"/>
      <family val="2"/>
    </font>
    <font>
      <sz val="8"/>
      <name val="Arial"/>
      <family val="2"/>
    </font>
    <font>
      <b/>
      <sz val="10"/>
      <name val="Arial"/>
      <family val="2"/>
    </font>
    <font>
      <b/>
      <sz val="10"/>
      <color indexed="9"/>
      <name val="Arial"/>
      <family val="2"/>
    </font>
    <font>
      <sz val="10"/>
      <color theme="1"/>
      <name val="Calibri"/>
      <family val="2"/>
      <scheme val="minor"/>
    </font>
    <font>
      <b/>
      <sz val="7"/>
      <color theme="1"/>
      <name val="Arial"/>
      <family val="2"/>
    </font>
    <font>
      <u/>
      <sz val="10"/>
      <name val="Arial"/>
      <family val="2"/>
    </font>
    <font>
      <b/>
      <sz val="9"/>
      <color indexed="81"/>
      <name val="Tahoma"/>
      <family val="2"/>
    </font>
    <font>
      <sz val="9"/>
      <color indexed="81"/>
      <name val="Tahoma"/>
      <family val="2"/>
    </font>
    <font>
      <b/>
      <sz val="11"/>
      <color theme="1"/>
      <name val="Calibri"/>
      <family val="2"/>
      <scheme val="minor"/>
    </font>
  </fonts>
  <fills count="14">
    <fill>
      <patternFill patternType="none"/>
    </fill>
    <fill>
      <patternFill patternType="gray125"/>
    </fill>
    <fill>
      <patternFill patternType="solid">
        <fgColor indexed="24"/>
        <bgColor indexed="64"/>
      </patternFill>
    </fill>
    <fill>
      <patternFill patternType="solid">
        <fgColor rgb="FF00B050"/>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E6E6E6"/>
        <bgColor indexed="64"/>
      </patternFill>
    </fill>
    <fill>
      <patternFill patternType="solid">
        <fgColor rgb="FF8C4DBB"/>
        <bgColor indexed="64"/>
      </patternFill>
    </fill>
    <fill>
      <patternFill patternType="solid">
        <fgColor rgb="FFCBAEE0"/>
        <bgColor indexed="64"/>
      </patternFill>
    </fill>
  </fills>
  <borders count="39">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style="medium">
        <color indexed="9"/>
      </right>
      <top style="medium">
        <color indexed="9"/>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style="medium">
        <color theme="0"/>
      </right>
      <top style="medium">
        <color indexed="9"/>
      </top>
      <bottom style="medium">
        <color indexed="9"/>
      </bottom>
      <diagonal/>
    </border>
    <border>
      <left style="medium">
        <color theme="0"/>
      </left>
      <right style="medium">
        <color indexed="9"/>
      </right>
      <top/>
      <bottom style="medium">
        <color theme="0"/>
      </bottom>
      <diagonal/>
    </border>
    <border>
      <left style="medium">
        <color indexed="9"/>
      </left>
      <right style="medium">
        <color indexed="9"/>
      </right>
      <top style="medium">
        <color indexed="9"/>
      </top>
      <bottom style="medium">
        <color theme="0"/>
      </bottom>
      <diagonal/>
    </border>
    <border>
      <left style="medium">
        <color indexed="9"/>
      </left>
      <right style="thin">
        <color indexed="64"/>
      </right>
      <top style="medium">
        <color indexed="9"/>
      </top>
      <bottom style="medium">
        <color theme="0"/>
      </bottom>
      <diagonal/>
    </border>
    <border>
      <left style="medium">
        <color indexed="9"/>
      </left>
      <right style="medium">
        <color theme="0"/>
      </right>
      <top style="medium">
        <color indexed="9"/>
      </top>
      <bottom style="medium">
        <color theme="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medium">
        <color theme="0"/>
      </top>
      <bottom/>
      <diagonal/>
    </border>
    <border>
      <left/>
      <right/>
      <top style="thin">
        <color theme="6"/>
      </top>
      <bottom style="thin">
        <color theme="6"/>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bottom/>
      <diagonal/>
    </border>
    <border>
      <left/>
      <right style="thin">
        <color indexed="64"/>
      </right>
      <top style="thin">
        <color indexed="64"/>
      </top>
      <bottom style="double">
        <color indexed="64"/>
      </bottom>
      <diagonal/>
    </border>
    <border>
      <left style="medium">
        <color indexed="9"/>
      </left>
      <right style="medium">
        <color indexed="9"/>
      </right>
      <top style="medium">
        <color indexed="9"/>
      </top>
      <bottom/>
      <diagonal/>
    </border>
    <border>
      <left style="medium">
        <color indexed="9"/>
      </left>
      <right style="thin">
        <color indexed="64"/>
      </right>
      <top style="medium">
        <color indexed="9"/>
      </top>
      <bottom/>
      <diagonal/>
    </border>
    <border>
      <left style="medium">
        <color indexed="9"/>
      </left>
      <right style="medium">
        <color theme="0"/>
      </right>
      <top style="medium">
        <color indexed="9"/>
      </top>
      <bottom/>
      <diagonal/>
    </border>
    <border>
      <left/>
      <right style="medium">
        <color indexed="9"/>
      </right>
      <top style="medium">
        <color indexed="9"/>
      </top>
      <bottom/>
      <diagonal/>
    </border>
    <border>
      <left/>
      <right style="thin">
        <color indexed="64"/>
      </right>
      <top style="thin">
        <color indexed="64"/>
      </top>
      <bottom/>
      <diagonal/>
    </border>
    <border>
      <left style="medium">
        <color indexed="9"/>
      </left>
      <right style="thin">
        <color indexed="64"/>
      </right>
      <top/>
      <bottom style="medium">
        <color theme="0"/>
      </bottom>
      <diagonal/>
    </border>
    <border>
      <left style="medium">
        <color indexed="9"/>
      </left>
      <right style="medium">
        <color theme="0"/>
      </right>
      <top/>
      <bottom style="medium">
        <color theme="0"/>
      </bottom>
      <diagonal/>
    </border>
    <border>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Alignment="0" applyProtection="0"/>
    <xf numFmtId="0" fontId="5" fillId="0" borderId="0"/>
    <xf numFmtId="166" fontId="5" fillId="0" borderId="0" applyFont="0" applyFill="0" applyBorder="0" applyAlignment="0" applyProtection="0"/>
    <xf numFmtId="167" fontId="7" fillId="0" borderId="0" applyFill="0" applyBorder="0" applyProtection="0">
      <alignment horizontal="right" vertical="center" wrapText="1" indent="1"/>
    </xf>
    <xf numFmtId="169" fontId="7" fillId="0" borderId="0" applyProtection="0">
      <alignment vertical="center" wrapText="1"/>
    </xf>
    <xf numFmtId="169" fontId="13" fillId="11" borderId="25" applyNumberFormat="0" applyFill="0" applyAlignment="0" applyProtection="0">
      <alignment vertical="center" wrapText="1"/>
    </xf>
    <xf numFmtId="164" fontId="1" fillId="0" borderId="0" applyFont="0" applyFill="0" applyBorder="0" applyAlignment="0" applyProtection="0"/>
  </cellStyleXfs>
  <cellXfs count="373">
    <xf numFmtId="0" fontId="0" fillId="0" borderId="0" xfId="0"/>
    <xf numFmtId="0" fontId="3" fillId="2" borderId="1" xfId="3" applyFont="1" applyFill="1" applyBorder="1" applyAlignment="1"/>
    <xf numFmtId="165" fontId="4" fillId="4" borderId="13" xfId="3" applyNumberFormat="1" applyFont="1" applyFill="1" applyBorder="1" applyAlignment="1">
      <alignment horizontal="right"/>
    </xf>
    <xf numFmtId="165" fontId="4" fillId="4" borderId="0" xfId="3" applyNumberFormat="1" applyFont="1" applyFill="1" applyBorder="1" applyAlignment="1">
      <alignment horizontal="right"/>
    </xf>
    <xf numFmtId="165" fontId="4" fillId="4" borderId="0" xfId="1" quotePrefix="1" applyNumberFormat="1" applyFont="1" applyFill="1" applyBorder="1" applyAlignment="1">
      <alignment horizontal="right"/>
    </xf>
    <xf numFmtId="165" fontId="4" fillId="6" borderId="13" xfId="3" applyNumberFormat="1" applyFont="1" applyFill="1" applyBorder="1" applyAlignment="1">
      <alignment horizontal="right"/>
    </xf>
    <xf numFmtId="165" fontId="4" fillId="6" borderId="0" xfId="3" applyNumberFormat="1" applyFont="1" applyFill="1" applyBorder="1" applyAlignment="1">
      <alignment horizontal="right"/>
    </xf>
    <xf numFmtId="165" fontId="4" fillId="6" borderId="0" xfId="1" quotePrefix="1" applyNumberFormat="1" applyFont="1" applyFill="1" applyBorder="1" applyAlignment="1">
      <alignment horizontal="right"/>
    </xf>
    <xf numFmtId="0" fontId="5" fillId="7" borderId="9" xfId="3" quotePrefix="1" applyFont="1" applyFill="1" applyBorder="1" applyAlignment="1"/>
    <xf numFmtId="0" fontId="6" fillId="7" borderId="16" xfId="3" quotePrefix="1" applyFont="1" applyFill="1" applyBorder="1" applyAlignment="1"/>
    <xf numFmtId="0" fontId="4" fillId="7" borderId="0" xfId="3" quotePrefix="1" applyFont="1" applyFill="1" applyBorder="1"/>
    <xf numFmtId="0" fontId="4" fillId="7" borderId="2" xfId="3" applyFont="1" applyFill="1" applyBorder="1" applyAlignment="1"/>
    <xf numFmtId="0" fontId="4" fillId="7" borderId="3" xfId="3" applyFont="1" applyFill="1" applyBorder="1" applyAlignment="1"/>
    <xf numFmtId="0" fontId="5" fillId="7" borderId="0" xfId="4" applyFill="1"/>
    <xf numFmtId="0" fontId="5" fillId="7" borderId="0" xfId="4" applyFill="1" applyBorder="1"/>
    <xf numFmtId="165" fontId="4" fillId="9" borderId="13" xfId="3" applyNumberFormat="1" applyFont="1" applyFill="1" applyBorder="1" applyAlignment="1">
      <alignment horizontal="right"/>
    </xf>
    <xf numFmtId="165" fontId="4" fillId="9" borderId="0" xfId="1" quotePrefix="1" applyNumberFormat="1" applyFont="1" applyFill="1" applyBorder="1" applyAlignment="1">
      <alignment horizontal="right"/>
    </xf>
    <xf numFmtId="165" fontId="4" fillId="4" borderId="14" xfId="1" applyNumberFormat="1" applyFont="1" applyFill="1" applyBorder="1" applyAlignment="1">
      <alignment horizontal="right"/>
    </xf>
    <xf numFmtId="3" fontId="0" fillId="0" borderId="0" xfId="0" applyNumberFormat="1"/>
    <xf numFmtId="0" fontId="0" fillId="10" borderId="0" xfId="0" applyFill="1"/>
    <xf numFmtId="0" fontId="5" fillId="10" borderId="0" xfId="4" applyFill="1" applyBorder="1"/>
    <xf numFmtId="0" fontId="6" fillId="10" borderId="22" xfId="3" quotePrefix="1" applyFont="1" applyFill="1" applyBorder="1" applyAlignment="1"/>
    <xf numFmtId="165" fontId="6" fillId="10" borderId="22" xfId="3" applyNumberFormat="1" applyFont="1" applyFill="1" applyBorder="1" applyAlignment="1">
      <alignment horizontal="right"/>
    </xf>
    <xf numFmtId="165" fontId="4" fillId="7" borderId="16" xfId="5" applyNumberFormat="1" applyFont="1" applyFill="1" applyBorder="1"/>
    <xf numFmtId="0" fontId="5" fillId="10" borderId="0" xfId="4" applyFill="1"/>
    <xf numFmtId="0" fontId="5" fillId="10" borderId="16" xfId="4" applyFill="1" applyBorder="1"/>
    <xf numFmtId="0" fontId="4" fillId="10" borderId="2" xfId="3" applyFont="1" applyFill="1" applyBorder="1" applyAlignment="1"/>
    <xf numFmtId="3" fontId="6" fillId="9" borderId="13" xfId="3" applyNumberFormat="1" applyFont="1" applyFill="1" applyBorder="1" applyAlignment="1">
      <alignment horizontal="right"/>
    </xf>
    <xf numFmtId="3" fontId="6" fillId="4" borderId="13" xfId="3" applyNumberFormat="1" applyFont="1" applyFill="1" applyBorder="1" applyAlignment="1">
      <alignment horizontal="right"/>
    </xf>
    <xf numFmtId="3" fontId="6" fillId="6" borderId="13" xfId="3" applyNumberFormat="1" applyFont="1" applyFill="1" applyBorder="1" applyAlignment="1">
      <alignment horizontal="right"/>
    </xf>
    <xf numFmtId="3" fontId="6" fillId="4" borderId="0" xfId="3" applyNumberFormat="1" applyFont="1" applyFill="1" applyBorder="1" applyAlignment="1">
      <alignment horizontal="right"/>
    </xf>
    <xf numFmtId="3" fontId="6" fillId="6" borderId="0" xfId="3" applyNumberFormat="1" applyFont="1" applyFill="1" applyBorder="1" applyAlignment="1">
      <alignment horizontal="right"/>
    </xf>
    <xf numFmtId="165" fontId="5" fillId="9" borderId="13" xfId="3" applyNumberFormat="1" applyFont="1" applyFill="1" applyBorder="1" applyAlignment="1">
      <alignment horizontal="right"/>
    </xf>
    <xf numFmtId="165" fontId="5" fillId="4" borderId="0" xfId="3" applyNumberFormat="1" applyFont="1" applyFill="1" applyBorder="1" applyAlignment="1">
      <alignment horizontal="right"/>
    </xf>
    <xf numFmtId="165" fontId="5" fillId="4" borderId="13" xfId="3" applyNumberFormat="1" applyFont="1" applyFill="1" applyBorder="1" applyAlignment="1">
      <alignment horizontal="right"/>
    </xf>
    <xf numFmtId="165" fontId="5" fillId="6" borderId="0" xfId="3" applyNumberFormat="1" applyFont="1" applyFill="1" applyBorder="1" applyAlignment="1">
      <alignment horizontal="right"/>
    </xf>
    <xf numFmtId="165" fontId="5" fillId="6" borderId="13" xfId="3" applyNumberFormat="1" applyFont="1" applyFill="1" applyBorder="1" applyAlignment="1">
      <alignment horizontal="right"/>
    </xf>
    <xf numFmtId="168" fontId="9" fillId="9" borderId="17" xfId="1" applyNumberFormat="1" applyFont="1" applyFill="1" applyBorder="1" applyAlignment="1">
      <alignment horizontal="right"/>
    </xf>
    <xf numFmtId="168" fontId="9" fillId="4" borderId="22" xfId="1" applyNumberFormat="1" applyFont="1" applyFill="1" applyBorder="1" applyAlignment="1">
      <alignment horizontal="right"/>
    </xf>
    <xf numFmtId="168" fontId="9" fillId="4" borderId="17" xfId="1" applyNumberFormat="1" applyFont="1" applyFill="1" applyBorder="1" applyAlignment="1">
      <alignment horizontal="right"/>
    </xf>
    <xf numFmtId="168" fontId="9" fillId="6" borderId="22" xfId="1" applyNumberFormat="1" applyFont="1" applyFill="1" applyBorder="1" applyAlignment="1">
      <alignment horizontal="right"/>
    </xf>
    <xf numFmtId="168" fontId="9" fillId="6" borderId="17" xfId="1" applyNumberFormat="1" applyFont="1" applyFill="1" applyBorder="1" applyAlignment="1">
      <alignment horizontal="right"/>
    </xf>
    <xf numFmtId="168" fontId="9" fillId="9" borderId="13" xfId="1" applyNumberFormat="1" applyFont="1" applyFill="1" applyBorder="1" applyAlignment="1">
      <alignment horizontal="right"/>
    </xf>
    <xf numFmtId="168" fontId="9" fillId="4" borderId="0" xfId="1" applyNumberFormat="1" applyFont="1" applyFill="1" applyBorder="1" applyAlignment="1">
      <alignment horizontal="right"/>
    </xf>
    <xf numFmtId="168" fontId="9" fillId="4" borderId="13" xfId="1" applyNumberFormat="1" applyFont="1" applyFill="1" applyBorder="1" applyAlignment="1">
      <alignment horizontal="right"/>
    </xf>
    <xf numFmtId="168" fontId="9" fillId="6" borderId="0" xfId="1" applyNumberFormat="1" applyFont="1" applyFill="1" applyBorder="1" applyAlignment="1">
      <alignment horizontal="right"/>
    </xf>
    <xf numFmtId="168" fontId="9" fillId="6" borderId="13" xfId="1" applyNumberFormat="1" applyFont="1" applyFill="1" applyBorder="1" applyAlignment="1">
      <alignment horizontal="right"/>
    </xf>
    <xf numFmtId="0" fontId="5" fillId="7" borderId="0" xfId="3" quotePrefix="1" applyFont="1" applyFill="1" applyBorder="1"/>
    <xf numFmtId="9" fontId="5" fillId="9" borderId="13" xfId="2" applyFont="1" applyFill="1" applyBorder="1" applyAlignment="1">
      <alignment horizontal="right"/>
    </xf>
    <xf numFmtId="9" fontId="5" fillId="4" borderId="0" xfId="2" applyFont="1" applyFill="1" applyBorder="1" applyAlignment="1">
      <alignment horizontal="right"/>
    </xf>
    <xf numFmtId="9" fontId="5" fillId="4" borderId="13" xfId="2" applyFont="1" applyFill="1" applyBorder="1" applyAlignment="1">
      <alignment horizontal="right"/>
    </xf>
    <xf numFmtId="9" fontId="5" fillId="6" borderId="0" xfId="2" applyFont="1" applyFill="1" applyBorder="1" applyAlignment="1">
      <alignment horizontal="right"/>
    </xf>
    <xf numFmtId="9" fontId="5" fillId="6" borderId="13" xfId="2" applyFont="1" applyFill="1" applyBorder="1" applyAlignment="1">
      <alignment horizontal="right"/>
    </xf>
    <xf numFmtId="0" fontId="5" fillId="7" borderId="16" xfId="3" quotePrefix="1" applyFont="1" applyFill="1" applyBorder="1"/>
    <xf numFmtId="4" fontId="5" fillId="9" borderId="13" xfId="3" applyNumberFormat="1" applyFont="1" applyFill="1" applyBorder="1" applyAlignment="1">
      <alignment horizontal="right"/>
    </xf>
    <xf numFmtId="4" fontId="5" fillId="4" borderId="13" xfId="3" applyNumberFormat="1" applyFont="1" applyFill="1" applyBorder="1" applyAlignment="1">
      <alignment horizontal="right"/>
    </xf>
    <xf numFmtId="4" fontId="5" fillId="6" borderId="13" xfId="3" applyNumberFormat="1" applyFont="1" applyFill="1" applyBorder="1" applyAlignment="1">
      <alignment horizontal="right"/>
    </xf>
    <xf numFmtId="0" fontId="4" fillId="7" borderId="20" xfId="3" quotePrefix="1" applyFont="1" applyFill="1" applyBorder="1"/>
    <xf numFmtId="165" fontId="4" fillId="4" borderId="21" xfId="1" applyNumberFormat="1" applyFont="1" applyFill="1" applyBorder="1" applyAlignment="1">
      <alignment horizontal="right"/>
    </xf>
    <xf numFmtId="165" fontId="4" fillId="6" borderId="21" xfId="1" applyNumberFormat="1" applyFont="1" applyFill="1" applyBorder="1" applyAlignment="1">
      <alignment horizontal="right"/>
    </xf>
    <xf numFmtId="165" fontId="4" fillId="6" borderId="14" xfId="1" applyNumberFormat="1" applyFont="1" applyFill="1" applyBorder="1" applyAlignment="1">
      <alignment horizontal="right"/>
    </xf>
    <xf numFmtId="165" fontId="4" fillId="6" borderId="14" xfId="1" quotePrefix="1" applyNumberFormat="1" applyFont="1" applyFill="1" applyBorder="1" applyAlignment="1">
      <alignment horizontal="right"/>
    </xf>
    <xf numFmtId="0" fontId="5" fillId="10" borderId="2" xfId="3" applyFont="1" applyFill="1" applyBorder="1" applyAlignment="1"/>
    <xf numFmtId="0" fontId="10" fillId="7" borderId="9" xfId="3" quotePrefix="1" applyFont="1" applyFill="1" applyBorder="1" applyAlignment="1"/>
    <xf numFmtId="0" fontId="11" fillId="3" borderId="10" xfId="3" applyFont="1" applyFill="1" applyBorder="1" applyAlignment="1">
      <alignment horizontal="center"/>
    </xf>
    <xf numFmtId="0" fontId="11" fillId="3" borderId="11" xfId="3" applyFont="1" applyFill="1" applyBorder="1" applyAlignment="1">
      <alignment horizontal="center"/>
    </xf>
    <xf numFmtId="0" fontId="11" fillId="5" borderId="10" xfId="3" applyFont="1" applyFill="1" applyBorder="1" applyAlignment="1">
      <alignment horizontal="center"/>
    </xf>
    <xf numFmtId="0" fontId="11" fillId="5" borderId="12" xfId="3" applyFont="1" applyFill="1" applyBorder="1" applyAlignment="1">
      <alignment horizontal="center"/>
    </xf>
    <xf numFmtId="0" fontId="10" fillId="7" borderId="13" xfId="3" quotePrefix="1" applyFont="1" applyFill="1" applyBorder="1" applyAlignment="1"/>
    <xf numFmtId="3" fontId="10" fillId="9" borderId="13" xfId="3" applyNumberFormat="1" applyFont="1" applyFill="1" applyBorder="1" applyAlignment="1">
      <alignment horizontal="right"/>
    </xf>
    <xf numFmtId="3" fontId="10" fillId="4" borderId="13" xfId="3" applyNumberFormat="1" applyFont="1" applyFill="1" applyBorder="1" applyAlignment="1">
      <alignment horizontal="right"/>
    </xf>
    <xf numFmtId="3" fontId="10" fillId="6" borderId="13" xfId="3" applyNumberFormat="1" applyFont="1" applyFill="1" applyBorder="1" applyAlignment="1">
      <alignment horizontal="right"/>
    </xf>
    <xf numFmtId="0" fontId="5" fillId="7" borderId="13" xfId="3" quotePrefix="1" applyFont="1" applyFill="1" applyBorder="1" applyAlignment="1"/>
    <xf numFmtId="3" fontId="5" fillId="9" borderId="13" xfId="3" applyNumberFormat="1" applyFont="1" applyFill="1" applyBorder="1" applyAlignment="1">
      <alignment horizontal="right"/>
    </xf>
    <xf numFmtId="3" fontId="5" fillId="4" borderId="13" xfId="3" applyNumberFormat="1" applyFont="1" applyFill="1" applyBorder="1" applyAlignment="1">
      <alignment horizontal="right"/>
    </xf>
    <xf numFmtId="3" fontId="5" fillId="6" borderId="13" xfId="3" applyNumberFormat="1" applyFont="1" applyFill="1" applyBorder="1" applyAlignment="1">
      <alignment horizontal="right"/>
    </xf>
    <xf numFmtId="0" fontId="5" fillId="7" borderId="14" xfId="3" quotePrefix="1" applyFont="1" applyFill="1" applyBorder="1" applyAlignment="1"/>
    <xf numFmtId="3" fontId="5" fillId="9" borderId="14" xfId="3" applyNumberFormat="1" applyFont="1" applyFill="1" applyBorder="1" applyAlignment="1">
      <alignment horizontal="right"/>
    </xf>
    <xf numFmtId="3" fontId="5" fillId="4" borderId="14" xfId="3" applyNumberFormat="1" applyFont="1" applyFill="1" applyBorder="1" applyAlignment="1">
      <alignment horizontal="right"/>
    </xf>
    <xf numFmtId="3" fontId="5" fillId="6" borderId="14" xfId="3" applyNumberFormat="1" applyFont="1" applyFill="1" applyBorder="1" applyAlignment="1">
      <alignment horizontal="right"/>
    </xf>
    <xf numFmtId="0" fontId="10" fillId="7" borderId="15" xfId="3" quotePrefix="1" applyFont="1" applyFill="1" applyBorder="1" applyAlignment="1"/>
    <xf numFmtId="3" fontId="10" fillId="9" borderId="15" xfId="3" applyNumberFormat="1" applyFont="1" applyFill="1" applyBorder="1" applyAlignment="1">
      <alignment horizontal="right"/>
    </xf>
    <xf numFmtId="3" fontId="10" fillId="4" borderId="15" xfId="3" applyNumberFormat="1" applyFont="1" applyFill="1" applyBorder="1" applyAlignment="1">
      <alignment horizontal="right"/>
    </xf>
    <xf numFmtId="3" fontId="10" fillId="6" borderId="15" xfId="3" applyNumberFormat="1" applyFont="1" applyFill="1" applyBorder="1" applyAlignment="1">
      <alignment horizontal="right"/>
    </xf>
    <xf numFmtId="0" fontId="5" fillId="7" borderId="17" xfId="3" quotePrefix="1" applyFont="1" applyFill="1" applyBorder="1" applyAlignment="1"/>
    <xf numFmtId="3" fontId="5" fillId="6" borderId="17" xfId="3" applyNumberFormat="1" applyFont="1" applyFill="1" applyBorder="1" applyAlignment="1">
      <alignment horizontal="right"/>
    </xf>
    <xf numFmtId="0" fontId="12" fillId="0" borderId="0" xfId="0" applyFont="1"/>
    <xf numFmtId="0" fontId="5" fillId="10" borderId="0" xfId="4" applyFont="1" applyFill="1" applyBorder="1"/>
    <xf numFmtId="0" fontId="5" fillId="10" borderId="0" xfId="4" applyFont="1" applyFill="1"/>
    <xf numFmtId="0" fontId="10" fillId="7" borderId="24" xfId="3" quotePrefix="1" applyFont="1" applyFill="1" applyBorder="1" applyAlignment="1"/>
    <xf numFmtId="3" fontId="10" fillId="4" borderId="24" xfId="3" applyNumberFormat="1" applyFont="1" applyFill="1" applyBorder="1" applyAlignment="1">
      <alignment horizontal="right"/>
    </xf>
    <xf numFmtId="3" fontId="10" fillId="6" borderId="24" xfId="3" applyNumberFormat="1" applyFont="1" applyFill="1" applyBorder="1" applyAlignment="1">
      <alignment horizontal="right"/>
    </xf>
    <xf numFmtId="0" fontId="10" fillId="7" borderId="16" xfId="3" quotePrefix="1" applyFont="1" applyFill="1" applyBorder="1" applyAlignment="1"/>
    <xf numFmtId="3" fontId="10" fillId="4" borderId="0" xfId="3" applyNumberFormat="1" applyFont="1" applyFill="1" applyBorder="1" applyAlignment="1">
      <alignment horizontal="right"/>
    </xf>
    <xf numFmtId="3" fontId="10" fillId="6" borderId="0" xfId="3" applyNumberFormat="1" applyFont="1" applyFill="1" applyBorder="1" applyAlignment="1">
      <alignment horizontal="right"/>
    </xf>
    <xf numFmtId="0" fontId="5" fillId="10" borderId="16" xfId="4" applyFont="1" applyFill="1" applyBorder="1"/>
    <xf numFmtId="0" fontId="5" fillId="7" borderId="16" xfId="3" quotePrefix="1" applyFont="1" applyFill="1" applyBorder="1" applyAlignment="1"/>
    <xf numFmtId="165" fontId="10" fillId="9" borderId="13" xfId="3" applyNumberFormat="1" applyFont="1" applyFill="1" applyBorder="1" applyAlignment="1">
      <alignment horizontal="right"/>
    </xf>
    <xf numFmtId="165" fontId="10" fillId="4" borderId="0" xfId="3" applyNumberFormat="1" applyFont="1" applyFill="1" applyBorder="1" applyAlignment="1">
      <alignment horizontal="right"/>
    </xf>
    <xf numFmtId="165" fontId="10" fillId="4" borderId="13" xfId="3" applyNumberFormat="1" applyFont="1" applyFill="1" applyBorder="1" applyAlignment="1">
      <alignment horizontal="right"/>
    </xf>
    <xf numFmtId="165" fontId="10" fillId="6" borderId="0" xfId="3" applyNumberFormat="1" applyFont="1" applyFill="1" applyBorder="1" applyAlignment="1">
      <alignment horizontal="right"/>
    </xf>
    <xf numFmtId="165" fontId="10" fillId="6" borderId="13" xfId="3" applyNumberFormat="1" applyFont="1" applyFill="1" applyBorder="1" applyAlignment="1">
      <alignment horizontal="right"/>
    </xf>
    <xf numFmtId="9" fontId="5" fillId="9" borderId="0" xfId="2" applyFont="1" applyFill="1" applyBorder="1" applyAlignment="1">
      <alignment horizontal="right"/>
    </xf>
    <xf numFmtId="165" fontId="5" fillId="9" borderId="0" xfId="1" quotePrefix="1" applyNumberFormat="1" applyFont="1" applyFill="1" applyBorder="1" applyAlignment="1">
      <alignment horizontal="right"/>
    </xf>
    <xf numFmtId="165" fontId="5" fillId="4" borderId="0" xfId="1" quotePrefix="1" applyNumberFormat="1" applyFont="1" applyFill="1" applyBorder="1" applyAlignment="1">
      <alignment horizontal="right"/>
    </xf>
    <xf numFmtId="165" fontId="5" fillId="6" borderId="0" xfId="1" quotePrefix="1" applyNumberFormat="1" applyFont="1" applyFill="1" applyBorder="1" applyAlignment="1">
      <alignment horizontal="right"/>
    </xf>
    <xf numFmtId="0" fontId="10" fillId="7" borderId="26" xfId="3" quotePrefix="1" applyFont="1" applyFill="1" applyBorder="1" applyAlignment="1"/>
    <xf numFmtId="3" fontId="10" fillId="4" borderId="26" xfId="3" applyNumberFormat="1" applyFont="1" applyFill="1" applyBorder="1" applyAlignment="1">
      <alignment horizontal="right"/>
    </xf>
    <xf numFmtId="3" fontId="10" fillId="6" borderId="26" xfId="3" applyNumberFormat="1" applyFont="1" applyFill="1" applyBorder="1" applyAlignment="1">
      <alignment horizontal="right"/>
    </xf>
    <xf numFmtId="0" fontId="10" fillId="7" borderId="27" xfId="3" quotePrefix="1" applyFont="1" applyFill="1" applyBorder="1"/>
    <xf numFmtId="165" fontId="10" fillId="9" borderId="14" xfId="3" applyNumberFormat="1" applyFont="1" applyFill="1" applyBorder="1" applyAlignment="1">
      <alignment horizontal="right"/>
    </xf>
    <xf numFmtId="165" fontId="10" fillId="4" borderId="21" xfId="3" applyNumberFormat="1" applyFont="1" applyFill="1" applyBorder="1" applyAlignment="1">
      <alignment horizontal="right"/>
    </xf>
    <xf numFmtId="165" fontId="10" fillId="4" borderId="14" xfId="3" applyNumberFormat="1" applyFont="1" applyFill="1" applyBorder="1" applyAlignment="1">
      <alignment horizontal="right"/>
    </xf>
    <xf numFmtId="165" fontId="10" fillId="6" borderId="14" xfId="3" applyNumberFormat="1" applyFont="1" applyFill="1" applyBorder="1" applyAlignment="1">
      <alignment horizontal="right"/>
    </xf>
    <xf numFmtId="3" fontId="5" fillId="9" borderId="13" xfId="2" applyNumberFormat="1" applyFont="1" applyFill="1" applyBorder="1" applyAlignment="1">
      <alignment horizontal="right"/>
    </xf>
    <xf numFmtId="3" fontId="5" fillId="4" borderId="0" xfId="2" applyNumberFormat="1" applyFont="1" applyFill="1" applyBorder="1" applyAlignment="1">
      <alignment horizontal="right"/>
    </xf>
    <xf numFmtId="3" fontId="5" fillId="4" borderId="13" xfId="2" applyNumberFormat="1" applyFont="1" applyFill="1" applyBorder="1" applyAlignment="1">
      <alignment horizontal="right"/>
    </xf>
    <xf numFmtId="3" fontId="5" fillId="4" borderId="0" xfId="3" applyNumberFormat="1" applyFont="1" applyFill="1" applyBorder="1" applyAlignment="1">
      <alignment horizontal="right"/>
    </xf>
    <xf numFmtId="3" fontId="5" fillId="6" borderId="0" xfId="1" applyNumberFormat="1" applyFont="1" applyFill="1" applyBorder="1" applyAlignment="1">
      <alignment horizontal="right"/>
    </xf>
    <xf numFmtId="3" fontId="5" fillId="6" borderId="0" xfId="3" applyNumberFormat="1" applyFont="1" applyFill="1" applyBorder="1" applyAlignment="1">
      <alignment horizontal="right"/>
    </xf>
    <xf numFmtId="3" fontId="5" fillId="9" borderId="13" xfId="1" applyNumberFormat="1" applyFont="1" applyFill="1" applyBorder="1" applyAlignment="1">
      <alignment horizontal="right"/>
    </xf>
    <xf numFmtId="3" fontId="5" fillId="4" borderId="0" xfId="1" applyNumberFormat="1" applyFont="1" applyFill="1" applyBorder="1" applyAlignment="1">
      <alignment horizontal="right"/>
    </xf>
    <xf numFmtId="3" fontId="5" fillId="4" borderId="13" xfId="1" applyNumberFormat="1" applyFont="1" applyFill="1" applyBorder="1" applyAlignment="1">
      <alignment horizontal="right"/>
    </xf>
    <xf numFmtId="9" fontId="8" fillId="4" borderId="22" xfId="2" applyFont="1" applyFill="1" applyBorder="1" applyAlignment="1">
      <alignment horizontal="right"/>
    </xf>
    <xf numFmtId="9" fontId="8" fillId="4" borderId="17" xfId="2" applyFont="1" applyFill="1" applyBorder="1" applyAlignment="1">
      <alignment horizontal="right"/>
    </xf>
    <xf numFmtId="0" fontId="14" fillId="7" borderId="13" xfId="3" quotePrefix="1" applyFont="1" applyFill="1" applyBorder="1" applyAlignment="1"/>
    <xf numFmtId="3" fontId="5" fillId="6" borderId="13" xfId="2" applyNumberFormat="1" applyFont="1" applyFill="1" applyBorder="1" applyAlignment="1">
      <alignment horizontal="right"/>
    </xf>
    <xf numFmtId="3" fontId="10" fillId="9" borderId="26" xfId="2" applyNumberFormat="1" applyFont="1" applyFill="1" applyBorder="1" applyAlignment="1">
      <alignment horizontal="right"/>
    </xf>
    <xf numFmtId="3" fontId="10" fillId="4" borderId="28" xfId="2" applyNumberFormat="1" applyFont="1" applyFill="1" applyBorder="1" applyAlignment="1">
      <alignment horizontal="right"/>
    </xf>
    <xf numFmtId="3" fontId="10" fillId="4" borderId="26" xfId="2" applyNumberFormat="1" applyFont="1" applyFill="1" applyBorder="1" applyAlignment="1">
      <alignment horizontal="right"/>
    </xf>
    <xf numFmtId="3" fontId="10" fillId="6" borderId="28" xfId="2" applyNumberFormat="1" applyFont="1" applyFill="1" applyBorder="1" applyAlignment="1">
      <alignment horizontal="right"/>
    </xf>
    <xf numFmtId="3" fontId="10" fillId="6" borderId="26" xfId="2" applyNumberFormat="1" applyFont="1" applyFill="1" applyBorder="1" applyAlignment="1">
      <alignment horizontal="right"/>
    </xf>
    <xf numFmtId="0" fontId="10" fillId="7" borderId="4" xfId="3" applyFont="1" applyFill="1" applyBorder="1" applyAlignment="1"/>
    <xf numFmtId="165" fontId="10" fillId="9" borderId="17" xfId="3" applyNumberFormat="1" applyFont="1" applyFill="1" applyBorder="1" applyAlignment="1">
      <alignment horizontal="right"/>
    </xf>
    <xf numFmtId="165" fontId="10" fillId="4" borderId="17" xfId="3" applyNumberFormat="1" applyFont="1" applyFill="1" applyBorder="1" applyAlignment="1">
      <alignment horizontal="right"/>
    </xf>
    <xf numFmtId="165" fontId="10" fillId="6" borderId="17" xfId="3" applyNumberFormat="1" applyFont="1" applyFill="1" applyBorder="1" applyAlignment="1">
      <alignment horizontal="right"/>
    </xf>
    <xf numFmtId="0" fontId="10" fillId="7" borderId="18" xfId="3" quotePrefix="1" applyFont="1" applyFill="1" applyBorder="1"/>
    <xf numFmtId="0" fontId="10" fillId="7" borderId="0" xfId="3" quotePrefix="1" applyFont="1" applyFill="1" applyBorder="1"/>
    <xf numFmtId="0" fontId="10" fillId="7" borderId="18" xfId="3" quotePrefix="1" applyFont="1" applyFill="1" applyBorder="1" applyAlignment="1"/>
    <xf numFmtId="165" fontId="5" fillId="7" borderId="0" xfId="5" applyNumberFormat="1" applyFont="1" applyFill="1" applyBorder="1"/>
    <xf numFmtId="0" fontId="5" fillId="7" borderId="0" xfId="3" quotePrefix="1" applyFont="1" applyFill="1" applyBorder="1" applyAlignment="1"/>
    <xf numFmtId="0" fontId="5" fillId="7" borderId="0" xfId="4" applyFont="1" applyFill="1"/>
    <xf numFmtId="0" fontId="5" fillId="7" borderId="0" xfId="4" applyFont="1" applyFill="1" applyBorder="1"/>
    <xf numFmtId="0" fontId="5" fillId="7" borderId="13" xfId="3" quotePrefix="1" applyFont="1" applyFill="1" applyBorder="1"/>
    <xf numFmtId="0" fontId="10" fillId="7" borderId="14" xfId="3" quotePrefix="1" applyFont="1" applyFill="1" applyBorder="1" applyAlignment="1"/>
    <xf numFmtId="165" fontId="10" fillId="9" borderId="0" xfId="3" applyNumberFormat="1" applyFont="1" applyFill="1" applyBorder="1" applyAlignment="1">
      <alignment horizontal="right"/>
    </xf>
    <xf numFmtId="165" fontId="5" fillId="9" borderId="0" xfId="3" applyNumberFormat="1" applyFont="1" applyFill="1" applyBorder="1" applyAlignment="1">
      <alignment horizontal="right"/>
    </xf>
    <xf numFmtId="0" fontId="11" fillId="8" borderId="10" xfId="3" applyFont="1" applyFill="1" applyBorder="1" applyAlignment="1">
      <alignment horizontal="center"/>
    </xf>
    <xf numFmtId="0" fontId="11" fillId="8" borderId="11" xfId="3" applyFont="1" applyFill="1" applyBorder="1" applyAlignment="1">
      <alignment horizontal="center"/>
    </xf>
    <xf numFmtId="3" fontId="6" fillId="9" borderId="0" xfId="3" applyNumberFormat="1" applyFont="1" applyFill="1" applyBorder="1" applyAlignment="1">
      <alignment horizontal="right"/>
    </xf>
    <xf numFmtId="168" fontId="9" fillId="9" borderId="22" xfId="1" applyNumberFormat="1" applyFont="1" applyFill="1" applyBorder="1" applyAlignment="1">
      <alignment horizontal="right"/>
    </xf>
    <xf numFmtId="168" fontId="9" fillId="9" borderId="0" xfId="1" applyNumberFormat="1" applyFont="1" applyFill="1" applyBorder="1" applyAlignment="1">
      <alignment horizontal="right"/>
    </xf>
    <xf numFmtId="165" fontId="4" fillId="9" borderId="0" xfId="3" applyNumberFormat="1" applyFont="1" applyFill="1" applyBorder="1" applyAlignment="1">
      <alignment horizontal="right"/>
    </xf>
    <xf numFmtId="165" fontId="4" fillId="9" borderId="14" xfId="1" applyNumberFormat="1" applyFont="1" applyFill="1" applyBorder="1" applyAlignment="1">
      <alignment horizontal="right"/>
    </xf>
    <xf numFmtId="3" fontId="10" fillId="9" borderId="24" xfId="3" applyNumberFormat="1" applyFont="1" applyFill="1" applyBorder="1" applyAlignment="1">
      <alignment horizontal="right"/>
    </xf>
    <xf numFmtId="3" fontId="10" fillId="9" borderId="26" xfId="3" applyNumberFormat="1" applyFont="1" applyFill="1" applyBorder="1" applyAlignment="1">
      <alignment horizontal="right"/>
    </xf>
    <xf numFmtId="3" fontId="10" fillId="9" borderId="0" xfId="3" applyNumberFormat="1" applyFont="1" applyFill="1" applyBorder="1" applyAlignment="1">
      <alignment horizontal="right"/>
    </xf>
    <xf numFmtId="3" fontId="5" fillId="9" borderId="0" xfId="2" applyNumberFormat="1" applyFont="1" applyFill="1" applyBorder="1" applyAlignment="1">
      <alignment horizontal="right"/>
    </xf>
    <xf numFmtId="3" fontId="5" fillId="9" borderId="0" xfId="3" applyNumberFormat="1" applyFont="1" applyFill="1" applyBorder="1" applyAlignment="1">
      <alignment horizontal="right"/>
    </xf>
    <xf numFmtId="3" fontId="5" fillId="9" borderId="0" xfId="1" applyNumberFormat="1" applyFont="1" applyFill="1" applyBorder="1" applyAlignment="1">
      <alignment horizontal="right"/>
    </xf>
    <xf numFmtId="9" fontId="8" fillId="9" borderId="22" xfId="2" applyFont="1" applyFill="1" applyBorder="1" applyAlignment="1">
      <alignment horizontal="right"/>
    </xf>
    <xf numFmtId="9" fontId="8" fillId="9" borderId="17" xfId="2" applyFont="1" applyFill="1" applyBorder="1" applyAlignment="1">
      <alignment horizontal="right"/>
    </xf>
    <xf numFmtId="165" fontId="10" fillId="9" borderId="21" xfId="3" applyNumberFormat="1" applyFont="1" applyFill="1" applyBorder="1" applyAlignment="1">
      <alignment horizontal="right"/>
    </xf>
    <xf numFmtId="3" fontId="10" fillId="9" borderId="14" xfId="3" applyNumberFormat="1" applyFont="1" applyFill="1" applyBorder="1" applyAlignment="1">
      <alignment horizontal="right"/>
    </xf>
    <xf numFmtId="3" fontId="10" fillId="4" borderId="14" xfId="3" applyNumberFormat="1" applyFont="1" applyFill="1" applyBorder="1" applyAlignment="1">
      <alignment horizontal="right"/>
    </xf>
    <xf numFmtId="170" fontId="12" fillId="0" borderId="0" xfId="0" applyNumberFormat="1" applyFont="1"/>
    <xf numFmtId="0" fontId="5" fillId="7" borderId="23" xfId="3" quotePrefix="1" applyFont="1" applyFill="1" applyBorder="1"/>
    <xf numFmtId="0" fontId="10" fillId="7" borderId="17" xfId="3" quotePrefix="1" applyFont="1" applyFill="1" applyBorder="1" applyAlignment="1"/>
    <xf numFmtId="0" fontId="5" fillId="7" borderId="14" xfId="3" quotePrefix="1" applyFont="1" applyFill="1" applyBorder="1"/>
    <xf numFmtId="4" fontId="5" fillId="9" borderId="14" xfId="3" applyNumberFormat="1" applyFont="1" applyFill="1" applyBorder="1" applyAlignment="1">
      <alignment horizontal="right"/>
    </xf>
    <xf numFmtId="0" fontId="5" fillId="7" borderId="20" xfId="3" quotePrefix="1" applyFont="1" applyFill="1" applyBorder="1" applyAlignment="1"/>
    <xf numFmtId="0" fontId="10" fillId="7" borderId="26" xfId="3" quotePrefix="1" applyFont="1" applyFill="1" applyBorder="1"/>
    <xf numFmtId="0" fontId="8" fillId="7" borderId="17" xfId="3" quotePrefix="1" applyFont="1" applyFill="1" applyBorder="1" applyAlignment="1"/>
    <xf numFmtId="0" fontId="8" fillId="7" borderId="13" xfId="3" quotePrefix="1" applyFont="1" applyFill="1" applyBorder="1" applyAlignment="1"/>
    <xf numFmtId="0" fontId="3" fillId="2" borderId="1" xfId="3" applyFont="1" applyFill="1" applyBorder="1" applyAlignment="1">
      <alignment horizontal="left"/>
    </xf>
    <xf numFmtId="3" fontId="5" fillId="6" borderId="29" xfId="3" applyNumberFormat="1" applyFont="1" applyFill="1" applyBorder="1" applyAlignment="1">
      <alignment horizontal="right"/>
    </xf>
    <xf numFmtId="4" fontId="5" fillId="6" borderId="14" xfId="3" applyNumberFormat="1" applyFont="1" applyFill="1" applyBorder="1" applyAlignment="1">
      <alignment horizontal="right"/>
    </xf>
    <xf numFmtId="3" fontId="10" fillId="6" borderId="17" xfId="3" applyNumberFormat="1" applyFont="1" applyFill="1" applyBorder="1" applyAlignment="1">
      <alignment horizontal="right"/>
    </xf>
    <xf numFmtId="3" fontId="5" fillId="6" borderId="13" xfId="1" applyNumberFormat="1" applyFont="1" applyFill="1" applyBorder="1" applyAlignment="1">
      <alignment horizontal="right"/>
    </xf>
    <xf numFmtId="3" fontId="5" fillId="6" borderId="14" xfId="1" applyNumberFormat="1" applyFont="1" applyFill="1" applyBorder="1" applyAlignment="1">
      <alignment horizontal="right"/>
    </xf>
    <xf numFmtId="9" fontId="8" fillId="6" borderId="17" xfId="2" applyFont="1" applyFill="1" applyBorder="1" applyAlignment="1">
      <alignment horizontal="right"/>
    </xf>
    <xf numFmtId="4" fontId="5" fillId="4" borderId="14" xfId="3" applyNumberFormat="1" applyFont="1" applyFill="1" applyBorder="1" applyAlignment="1">
      <alignment horizontal="right"/>
    </xf>
    <xf numFmtId="3" fontId="10" fillId="9" borderId="17" xfId="3" applyNumberFormat="1" applyFont="1" applyFill="1" applyBorder="1" applyAlignment="1">
      <alignment horizontal="right"/>
    </xf>
    <xf numFmtId="3" fontId="10" fillId="4" borderId="17" xfId="3" applyNumberFormat="1" applyFont="1" applyFill="1" applyBorder="1" applyAlignment="1">
      <alignment horizontal="right"/>
    </xf>
    <xf numFmtId="3" fontId="10" fillId="9" borderId="19" xfId="3" applyNumberFormat="1" applyFont="1" applyFill="1" applyBorder="1" applyAlignment="1">
      <alignment horizontal="right"/>
    </xf>
    <xf numFmtId="3" fontId="10" fillId="4" borderId="19" xfId="3" applyNumberFormat="1" applyFont="1" applyFill="1" applyBorder="1" applyAlignment="1">
      <alignment horizontal="right"/>
    </xf>
    <xf numFmtId="3" fontId="10" fillId="6" borderId="19" xfId="3" applyNumberFormat="1" applyFont="1" applyFill="1" applyBorder="1" applyAlignment="1">
      <alignment horizontal="right"/>
    </xf>
    <xf numFmtId="3" fontId="5" fillId="6" borderId="13" xfId="1" quotePrefix="1" applyNumberFormat="1" applyFont="1" applyFill="1" applyBorder="1" applyAlignment="1">
      <alignment horizontal="right"/>
    </xf>
    <xf numFmtId="3" fontId="5" fillId="9" borderId="14" xfId="1" applyNumberFormat="1" applyFont="1" applyFill="1" applyBorder="1" applyAlignment="1">
      <alignment horizontal="right"/>
    </xf>
    <xf numFmtId="3" fontId="5" fillId="4" borderId="14" xfId="1" applyNumberFormat="1" applyFont="1" applyFill="1" applyBorder="1" applyAlignment="1">
      <alignment horizontal="right"/>
    </xf>
    <xf numFmtId="3" fontId="5" fillId="7" borderId="0" xfId="4" applyNumberFormat="1" applyFont="1" applyFill="1" applyBorder="1"/>
    <xf numFmtId="3" fontId="10" fillId="9" borderId="26" xfId="1" applyNumberFormat="1" applyFont="1" applyFill="1" applyBorder="1" applyAlignment="1">
      <alignment horizontal="right"/>
    </xf>
    <xf numFmtId="3" fontId="10" fillId="4" borderId="28" xfId="1" applyNumberFormat="1" applyFont="1" applyFill="1" applyBorder="1" applyAlignment="1">
      <alignment horizontal="right"/>
    </xf>
    <xf numFmtId="3" fontId="10" fillId="4" borderId="26" xfId="1" applyNumberFormat="1" applyFont="1" applyFill="1" applyBorder="1" applyAlignment="1">
      <alignment horizontal="right"/>
    </xf>
    <xf numFmtId="3" fontId="10" fillId="6" borderId="28" xfId="1" applyNumberFormat="1" applyFont="1" applyFill="1" applyBorder="1" applyAlignment="1">
      <alignment horizontal="right"/>
    </xf>
    <xf numFmtId="3" fontId="10" fillId="6" borderId="26" xfId="1" applyNumberFormat="1" applyFont="1" applyFill="1" applyBorder="1" applyAlignment="1">
      <alignment horizontal="right"/>
    </xf>
    <xf numFmtId="3" fontId="10" fillId="6" borderId="26" xfId="1" quotePrefix="1" applyNumberFormat="1" applyFont="1" applyFill="1" applyBorder="1" applyAlignment="1">
      <alignment horizontal="right"/>
    </xf>
    <xf numFmtId="3" fontId="8" fillId="9" borderId="0" xfId="3" applyNumberFormat="1" applyFont="1" applyFill="1" applyBorder="1" applyAlignment="1">
      <alignment horizontal="right"/>
    </xf>
    <xf numFmtId="3" fontId="8" fillId="9" borderId="13" xfId="3" applyNumberFormat="1" applyFont="1" applyFill="1" applyBorder="1" applyAlignment="1">
      <alignment horizontal="right"/>
    </xf>
    <xf numFmtId="3" fontId="8" fillId="4" borderId="0" xfId="3" applyNumberFormat="1" applyFont="1" applyFill="1" applyBorder="1" applyAlignment="1">
      <alignment horizontal="right"/>
    </xf>
    <xf numFmtId="3" fontId="8" fillId="4" borderId="13" xfId="3" applyNumberFormat="1" applyFont="1" applyFill="1" applyBorder="1" applyAlignment="1">
      <alignment horizontal="right"/>
    </xf>
    <xf numFmtId="3" fontId="8" fillId="6" borderId="13" xfId="3" applyNumberFormat="1" applyFont="1" applyFill="1" applyBorder="1" applyAlignment="1">
      <alignment horizontal="right"/>
    </xf>
    <xf numFmtId="9" fontId="5" fillId="6" borderId="13" xfId="2" applyNumberFormat="1" applyFont="1" applyFill="1" applyBorder="1" applyAlignment="1">
      <alignment horizontal="right"/>
    </xf>
    <xf numFmtId="3" fontId="10" fillId="6" borderId="30" xfId="2" applyNumberFormat="1" applyFont="1" applyFill="1" applyBorder="1" applyAlignment="1">
      <alignment horizontal="right"/>
    </xf>
    <xf numFmtId="16" fontId="11" fillId="3" borderId="10" xfId="3" quotePrefix="1" applyNumberFormat="1" applyFont="1" applyFill="1" applyBorder="1" applyAlignment="1">
      <alignment horizontal="center"/>
    </xf>
    <xf numFmtId="16" fontId="11" fillId="5" borderId="10" xfId="3" quotePrefix="1" applyNumberFormat="1" applyFont="1" applyFill="1" applyBorder="1" applyAlignment="1">
      <alignment horizontal="center"/>
    </xf>
    <xf numFmtId="3" fontId="8" fillId="9" borderId="0" xfId="2" applyNumberFormat="1" applyFont="1" applyFill="1" applyBorder="1" applyAlignment="1">
      <alignment horizontal="right"/>
    </xf>
    <xf numFmtId="3" fontId="8" fillId="9" borderId="13" xfId="2" applyNumberFormat="1" applyFont="1" applyFill="1" applyBorder="1" applyAlignment="1">
      <alignment horizontal="right"/>
    </xf>
    <xf numFmtId="3" fontId="8" fillId="4" borderId="0" xfId="2" applyNumberFormat="1" applyFont="1" applyFill="1" applyBorder="1" applyAlignment="1">
      <alignment horizontal="right"/>
    </xf>
    <xf numFmtId="3" fontId="8" fillId="4" borderId="13" xfId="2" applyNumberFormat="1" applyFont="1" applyFill="1" applyBorder="1" applyAlignment="1">
      <alignment horizontal="right"/>
    </xf>
    <xf numFmtId="0" fontId="8" fillId="7" borderId="13" xfId="3" quotePrefix="1" applyFont="1" applyFill="1" applyBorder="1" applyAlignment="1">
      <alignment wrapText="1"/>
    </xf>
    <xf numFmtId="0" fontId="5" fillId="0" borderId="0" xfId="4" quotePrefix="1" applyFont="1" applyBorder="1" applyAlignment="1">
      <alignment horizontal="left" vertical="center" wrapText="1"/>
    </xf>
    <xf numFmtId="0" fontId="5" fillId="0" borderId="0" xfId="4" quotePrefix="1" applyFont="1" applyBorder="1" applyAlignment="1">
      <alignment horizontal="left" vertical="center" wrapText="1"/>
    </xf>
    <xf numFmtId="3" fontId="5" fillId="9" borderId="13" xfId="3" quotePrefix="1" applyNumberFormat="1" applyFont="1" applyFill="1" applyBorder="1" applyAlignment="1">
      <alignment horizontal="right"/>
    </xf>
    <xf numFmtId="0" fontId="0" fillId="0" borderId="0" xfId="0" applyFill="1"/>
    <xf numFmtId="0" fontId="0" fillId="7" borderId="0" xfId="0" applyFill="1"/>
    <xf numFmtId="3" fontId="0" fillId="7" borderId="0" xfId="0" applyNumberFormat="1" applyFill="1"/>
    <xf numFmtId="165" fontId="4" fillId="7" borderId="0" xfId="1" quotePrefix="1" applyNumberFormat="1" applyFont="1" applyFill="1" applyBorder="1" applyAlignment="1">
      <alignment horizontal="right"/>
    </xf>
    <xf numFmtId="0" fontId="4" fillId="7" borderId="0" xfId="3" applyFont="1" applyFill="1" applyBorder="1" applyAlignment="1"/>
    <xf numFmtId="0" fontId="11" fillId="8" borderId="31" xfId="3" applyFont="1" applyFill="1" applyBorder="1" applyAlignment="1">
      <alignment horizontal="center"/>
    </xf>
    <xf numFmtId="0" fontId="11" fillId="8" borderId="32" xfId="3" applyFont="1" applyFill="1" applyBorder="1" applyAlignment="1">
      <alignment horizontal="center"/>
    </xf>
    <xf numFmtId="0" fontId="11" fillId="3" borderId="31" xfId="3" applyFont="1" applyFill="1" applyBorder="1" applyAlignment="1">
      <alignment horizontal="center"/>
    </xf>
    <xf numFmtId="0" fontId="11" fillId="3" borderId="32" xfId="3" applyFont="1" applyFill="1" applyBorder="1" applyAlignment="1">
      <alignment horizontal="center"/>
    </xf>
    <xf numFmtId="0" fontId="11" fillId="5" borderId="31" xfId="3" applyFont="1" applyFill="1" applyBorder="1" applyAlignment="1">
      <alignment horizontal="center"/>
    </xf>
    <xf numFmtId="0" fontId="11" fillId="5" borderId="33" xfId="3" applyFont="1" applyFill="1" applyBorder="1" applyAlignment="1">
      <alignment horizontal="center"/>
    </xf>
    <xf numFmtId="0" fontId="10" fillId="7" borderId="16" xfId="3" quotePrefix="1" applyFont="1" applyFill="1" applyBorder="1"/>
    <xf numFmtId="165" fontId="5" fillId="7" borderId="16" xfId="5" applyNumberFormat="1" applyFont="1" applyFill="1" applyBorder="1"/>
    <xf numFmtId="0" fontId="11" fillId="8" borderId="34" xfId="3" applyFont="1" applyFill="1" applyBorder="1" applyAlignment="1">
      <alignment horizontal="center"/>
    </xf>
    <xf numFmtId="0" fontId="3" fillId="2" borderId="17" xfId="3" applyFont="1" applyFill="1" applyBorder="1" applyAlignment="1"/>
    <xf numFmtId="0" fontId="5" fillId="0" borderId="0" xfId="3" quotePrefix="1" applyFont="1" applyFill="1" applyBorder="1"/>
    <xf numFmtId="9" fontId="5" fillId="0" borderId="0" xfId="2" applyFont="1" applyFill="1" applyBorder="1" applyAlignment="1">
      <alignment horizontal="right"/>
    </xf>
    <xf numFmtId="0" fontId="4" fillId="0" borderId="0" xfId="3" quotePrefix="1" applyFont="1" applyFill="1" applyBorder="1"/>
    <xf numFmtId="165" fontId="4" fillId="0" borderId="0" xfId="1" quotePrefix="1" applyNumberFormat="1" applyFont="1" applyFill="1" applyBorder="1" applyAlignment="1">
      <alignment horizontal="right"/>
    </xf>
    <xf numFmtId="171" fontId="10" fillId="9" borderId="15" xfId="3" applyNumberFormat="1" applyFont="1" applyFill="1" applyBorder="1" applyAlignment="1">
      <alignment horizontal="right"/>
    </xf>
    <xf numFmtId="171" fontId="10" fillId="4" borderId="15" xfId="3" applyNumberFormat="1" applyFont="1" applyFill="1" applyBorder="1" applyAlignment="1">
      <alignment horizontal="right"/>
    </xf>
    <xf numFmtId="171" fontId="10" fillId="6" borderId="15" xfId="3" applyNumberFormat="1" applyFont="1" applyFill="1" applyBorder="1" applyAlignment="1">
      <alignment horizontal="right"/>
    </xf>
    <xf numFmtId="171" fontId="10" fillId="9" borderId="13" xfId="3" applyNumberFormat="1" applyFont="1" applyFill="1" applyBorder="1" applyAlignment="1">
      <alignment horizontal="right"/>
    </xf>
    <xf numFmtId="171" fontId="10" fillId="9" borderId="17" xfId="3" applyNumberFormat="1" applyFont="1" applyFill="1" applyBorder="1" applyAlignment="1">
      <alignment horizontal="right"/>
    </xf>
    <xf numFmtId="171" fontId="10" fillId="9" borderId="0" xfId="3" applyNumberFormat="1" applyFont="1" applyFill="1" applyBorder="1" applyAlignment="1">
      <alignment horizontal="right"/>
    </xf>
    <xf numFmtId="171" fontId="10" fillId="4" borderId="0" xfId="3" applyNumberFormat="1" applyFont="1" applyFill="1" applyBorder="1" applyAlignment="1">
      <alignment horizontal="right"/>
    </xf>
    <xf numFmtId="171" fontId="10" fillId="4" borderId="17" xfId="3" applyNumberFormat="1" applyFont="1" applyFill="1" applyBorder="1" applyAlignment="1">
      <alignment horizontal="right"/>
    </xf>
    <xf numFmtId="171" fontId="10" fillId="6" borderId="0" xfId="3" applyNumberFormat="1" applyFont="1" applyFill="1" applyBorder="1" applyAlignment="1">
      <alignment horizontal="right"/>
    </xf>
    <xf numFmtId="171" fontId="10" fillId="6" borderId="17" xfId="3" applyNumberFormat="1" applyFont="1" applyFill="1" applyBorder="1" applyAlignment="1">
      <alignment horizontal="right"/>
    </xf>
    <xf numFmtId="171" fontId="5" fillId="9" borderId="13" xfId="3" applyNumberFormat="1" applyFont="1" applyFill="1" applyBorder="1" applyAlignment="1">
      <alignment horizontal="right"/>
    </xf>
    <xf numFmtId="171" fontId="5" fillId="9" borderId="0" xfId="3" applyNumberFormat="1" applyFont="1" applyFill="1" applyBorder="1" applyAlignment="1">
      <alignment horizontal="right"/>
    </xf>
    <xf numFmtId="171" fontId="5" fillId="4" borderId="0" xfId="3" applyNumberFormat="1" applyFont="1" applyFill="1" applyBorder="1" applyAlignment="1">
      <alignment horizontal="right"/>
    </xf>
    <xf numFmtId="171" fontId="5" fillId="4" borderId="13" xfId="3" applyNumberFormat="1" applyFont="1" applyFill="1" applyBorder="1" applyAlignment="1">
      <alignment horizontal="right"/>
    </xf>
    <xf numFmtId="171" fontId="5" fillId="6" borderId="0" xfId="3" applyNumberFormat="1" applyFont="1" applyFill="1" applyBorder="1" applyAlignment="1">
      <alignment horizontal="right"/>
    </xf>
    <xf numFmtId="171" fontId="5" fillId="6" borderId="13" xfId="3" applyNumberFormat="1" applyFont="1" applyFill="1" applyBorder="1" applyAlignment="1">
      <alignment horizontal="right"/>
    </xf>
    <xf numFmtId="171" fontId="10" fillId="9" borderId="19" xfId="3" applyNumberFormat="1" applyFont="1" applyFill="1" applyBorder="1" applyAlignment="1">
      <alignment horizontal="right"/>
    </xf>
    <xf numFmtId="171" fontId="10" fillId="4" borderId="19" xfId="3" applyNumberFormat="1" applyFont="1" applyFill="1" applyBorder="1" applyAlignment="1">
      <alignment horizontal="right"/>
    </xf>
    <xf numFmtId="171" fontId="10" fillId="6" borderId="19" xfId="3" applyNumberFormat="1" applyFont="1" applyFill="1" applyBorder="1" applyAlignment="1">
      <alignment horizontal="right"/>
    </xf>
    <xf numFmtId="171" fontId="10" fillId="4" borderId="13" xfId="3" applyNumberFormat="1" applyFont="1" applyFill="1" applyBorder="1" applyAlignment="1">
      <alignment horizontal="right"/>
    </xf>
    <xf numFmtId="171" fontId="10" fillId="6" borderId="13" xfId="3" applyNumberFormat="1" applyFont="1" applyFill="1" applyBorder="1" applyAlignment="1">
      <alignment horizontal="right"/>
    </xf>
    <xf numFmtId="171" fontId="5" fillId="9" borderId="13" xfId="1" applyNumberFormat="1" applyFont="1" applyFill="1" applyBorder="1" applyAlignment="1">
      <alignment horizontal="right"/>
    </xf>
    <xf numFmtId="171" fontId="5" fillId="9" borderId="0" xfId="1" applyNumberFormat="1" applyFont="1" applyFill="1" applyBorder="1" applyAlignment="1">
      <alignment horizontal="right"/>
    </xf>
    <xf numFmtId="171" fontId="5" fillId="4" borderId="0" xfId="1" applyNumberFormat="1" applyFont="1" applyFill="1" applyBorder="1" applyAlignment="1">
      <alignment horizontal="right"/>
    </xf>
    <xf numFmtId="171" fontId="5" fillId="4" borderId="13" xfId="1" applyNumberFormat="1" applyFont="1" applyFill="1" applyBorder="1" applyAlignment="1">
      <alignment horizontal="right"/>
    </xf>
    <xf numFmtId="171" fontId="5" fillId="6" borderId="0" xfId="1" applyNumberFormat="1" applyFont="1" applyFill="1" applyBorder="1" applyAlignment="1">
      <alignment horizontal="right"/>
    </xf>
    <xf numFmtId="171" fontId="5" fillId="6" borderId="13" xfId="1" applyNumberFormat="1" applyFont="1" applyFill="1" applyBorder="1" applyAlignment="1">
      <alignment horizontal="right"/>
    </xf>
    <xf numFmtId="171" fontId="5" fillId="6" borderId="13" xfId="1" quotePrefix="1" applyNumberFormat="1" applyFont="1" applyFill="1" applyBorder="1" applyAlignment="1">
      <alignment horizontal="right"/>
    </xf>
    <xf numFmtId="172" fontId="12" fillId="0" borderId="0" xfId="2" applyNumberFormat="1" applyFont="1"/>
    <xf numFmtId="0" fontId="5" fillId="0" borderId="0" xfId="4" quotePrefix="1" applyFont="1" applyBorder="1" applyAlignment="1">
      <alignment horizontal="left" vertical="center" wrapText="1"/>
    </xf>
    <xf numFmtId="0" fontId="5" fillId="10" borderId="0" xfId="3" applyFont="1" applyFill="1" applyBorder="1" applyAlignment="1"/>
    <xf numFmtId="0" fontId="4" fillId="10" borderId="0" xfId="3" applyFont="1" applyFill="1" applyBorder="1" applyAlignment="1"/>
    <xf numFmtId="0" fontId="11" fillId="12" borderId="10" xfId="3" applyFont="1" applyFill="1" applyBorder="1" applyAlignment="1">
      <alignment horizontal="center"/>
    </xf>
    <xf numFmtId="0" fontId="11" fillId="12" borderId="12" xfId="3" applyFont="1" applyFill="1" applyBorder="1" applyAlignment="1">
      <alignment horizontal="center"/>
    </xf>
    <xf numFmtId="3" fontId="10" fillId="13" borderId="13" xfId="3" applyNumberFormat="1" applyFont="1" applyFill="1" applyBorder="1" applyAlignment="1">
      <alignment horizontal="right"/>
    </xf>
    <xf numFmtId="3" fontId="5" fillId="13" borderId="13" xfId="3" applyNumberFormat="1" applyFont="1" applyFill="1" applyBorder="1" applyAlignment="1">
      <alignment horizontal="right"/>
    </xf>
    <xf numFmtId="3" fontId="10" fillId="13" borderId="15" xfId="3" applyNumberFormat="1" applyFont="1" applyFill="1" applyBorder="1" applyAlignment="1">
      <alignment horizontal="right"/>
    </xf>
    <xf numFmtId="165" fontId="10" fillId="13" borderId="14" xfId="3" applyNumberFormat="1" applyFont="1" applyFill="1" applyBorder="1" applyAlignment="1">
      <alignment horizontal="right"/>
    </xf>
    <xf numFmtId="3" fontId="10" fillId="13" borderId="0" xfId="3" applyNumberFormat="1" applyFont="1" applyFill="1" applyBorder="1" applyAlignment="1">
      <alignment horizontal="right"/>
    </xf>
    <xf numFmtId="3" fontId="10" fillId="13" borderId="29" xfId="3" applyNumberFormat="1" applyFont="1" applyFill="1" applyBorder="1" applyAlignment="1">
      <alignment horizontal="right"/>
    </xf>
    <xf numFmtId="3" fontId="5" fillId="13" borderId="0" xfId="2" applyNumberFormat="1" applyFont="1" applyFill="1" applyBorder="1" applyAlignment="1">
      <alignment horizontal="right"/>
    </xf>
    <xf numFmtId="3" fontId="5" fillId="13" borderId="13" xfId="2" applyNumberFormat="1" applyFont="1" applyFill="1" applyBorder="1" applyAlignment="1">
      <alignment horizontal="right"/>
    </xf>
    <xf numFmtId="3" fontId="5" fillId="13" borderId="29" xfId="2" applyNumberFormat="1" applyFont="1" applyFill="1" applyBorder="1" applyAlignment="1">
      <alignment horizontal="right"/>
    </xf>
    <xf numFmtId="3" fontId="10" fillId="13" borderId="28" xfId="2" applyNumberFormat="1" applyFont="1" applyFill="1" applyBorder="1" applyAlignment="1">
      <alignment horizontal="right"/>
    </xf>
    <xf numFmtId="3" fontId="10" fillId="13" borderId="26" xfId="2" applyNumberFormat="1" applyFont="1" applyFill="1" applyBorder="1" applyAlignment="1">
      <alignment horizontal="right"/>
    </xf>
    <xf numFmtId="3" fontId="10" fillId="13" borderId="30" xfId="2" applyNumberFormat="1" applyFont="1" applyFill="1" applyBorder="1" applyAlignment="1">
      <alignment horizontal="right"/>
    </xf>
    <xf numFmtId="3" fontId="5" fillId="13" borderId="0" xfId="1" applyNumberFormat="1" applyFont="1" applyFill="1" applyBorder="1" applyAlignment="1">
      <alignment horizontal="right"/>
    </xf>
    <xf numFmtId="3" fontId="5" fillId="13" borderId="0" xfId="3" applyNumberFormat="1" applyFont="1" applyFill="1" applyBorder="1" applyAlignment="1">
      <alignment horizontal="right"/>
    </xf>
    <xf numFmtId="3" fontId="5" fillId="13" borderId="20" xfId="3" applyNumberFormat="1" applyFont="1" applyFill="1" applyBorder="1" applyAlignment="1">
      <alignment horizontal="right"/>
    </xf>
    <xf numFmtId="3" fontId="10" fillId="13" borderId="14" xfId="3" applyNumberFormat="1" applyFont="1" applyFill="1" applyBorder="1" applyAlignment="1">
      <alignment horizontal="right"/>
    </xf>
    <xf numFmtId="3" fontId="10" fillId="13" borderId="21" xfId="3" applyNumberFormat="1" applyFont="1" applyFill="1" applyBorder="1" applyAlignment="1">
      <alignment horizontal="right"/>
    </xf>
    <xf numFmtId="16" fontId="11" fillId="12" borderId="10" xfId="3" quotePrefix="1" applyNumberFormat="1" applyFont="1" applyFill="1" applyBorder="1" applyAlignment="1">
      <alignment horizontal="center"/>
    </xf>
    <xf numFmtId="3" fontId="10" fillId="13" borderId="24" xfId="3" applyNumberFormat="1" applyFont="1" applyFill="1" applyBorder="1" applyAlignment="1">
      <alignment horizontal="right"/>
    </xf>
    <xf numFmtId="3" fontId="10" fillId="13" borderId="26" xfId="3" applyNumberFormat="1" applyFont="1" applyFill="1" applyBorder="1" applyAlignment="1">
      <alignment horizontal="right"/>
    </xf>
    <xf numFmtId="3" fontId="10" fillId="13" borderId="17" xfId="3" applyNumberFormat="1" applyFont="1" applyFill="1" applyBorder="1" applyAlignment="1">
      <alignment horizontal="right"/>
    </xf>
    <xf numFmtId="3" fontId="5" fillId="13" borderId="13" xfId="1" applyNumberFormat="1" applyFont="1" applyFill="1" applyBorder="1" applyAlignment="1">
      <alignment horizontal="right"/>
    </xf>
    <xf numFmtId="3" fontId="5" fillId="13" borderId="14" xfId="1" applyNumberFormat="1" applyFont="1" applyFill="1" applyBorder="1" applyAlignment="1">
      <alignment horizontal="right"/>
    </xf>
    <xf numFmtId="3" fontId="5" fillId="13" borderId="13" xfId="1" quotePrefix="1" applyNumberFormat="1" applyFont="1" applyFill="1" applyBorder="1" applyAlignment="1">
      <alignment horizontal="right"/>
    </xf>
    <xf numFmtId="3" fontId="10" fillId="13" borderId="28" xfId="1" applyNumberFormat="1" applyFont="1" applyFill="1" applyBorder="1" applyAlignment="1">
      <alignment horizontal="right"/>
    </xf>
    <xf numFmtId="3" fontId="10" fillId="13" borderId="26" xfId="1" applyNumberFormat="1" applyFont="1" applyFill="1" applyBorder="1" applyAlignment="1">
      <alignment horizontal="right"/>
    </xf>
    <xf numFmtId="3" fontId="10" fillId="13" borderId="26" xfId="1" quotePrefix="1" applyNumberFormat="1" applyFont="1" applyFill="1" applyBorder="1" applyAlignment="1">
      <alignment horizontal="right"/>
    </xf>
    <xf numFmtId="9" fontId="8" fillId="13" borderId="17" xfId="2" applyFont="1" applyFill="1" applyBorder="1" applyAlignment="1">
      <alignment horizontal="right"/>
    </xf>
    <xf numFmtId="3" fontId="8" fillId="13" borderId="13" xfId="3" applyNumberFormat="1" applyFont="1" applyFill="1" applyBorder="1" applyAlignment="1">
      <alignment horizontal="right"/>
    </xf>
    <xf numFmtId="3" fontId="5" fillId="13" borderId="14" xfId="3" applyNumberFormat="1" applyFont="1" applyFill="1" applyBorder="1" applyAlignment="1">
      <alignment horizontal="right"/>
    </xf>
    <xf numFmtId="3" fontId="5" fillId="13" borderId="17" xfId="3" applyNumberFormat="1" applyFont="1" applyFill="1" applyBorder="1" applyAlignment="1">
      <alignment horizontal="right"/>
    </xf>
    <xf numFmtId="3" fontId="5" fillId="13" borderId="29" xfId="3" applyNumberFormat="1" applyFont="1" applyFill="1" applyBorder="1" applyAlignment="1">
      <alignment horizontal="right"/>
    </xf>
    <xf numFmtId="3" fontId="6" fillId="13" borderId="13" xfId="3" applyNumberFormat="1" applyFont="1" applyFill="1" applyBorder="1" applyAlignment="1">
      <alignment horizontal="right"/>
    </xf>
    <xf numFmtId="3" fontId="6" fillId="13" borderId="0" xfId="3" applyNumberFormat="1" applyFont="1" applyFill="1" applyBorder="1" applyAlignment="1">
      <alignment horizontal="right"/>
    </xf>
    <xf numFmtId="9" fontId="5" fillId="13" borderId="13" xfId="2" applyFont="1" applyFill="1" applyBorder="1" applyAlignment="1">
      <alignment horizontal="right"/>
    </xf>
    <xf numFmtId="9" fontId="5" fillId="13" borderId="13" xfId="2" applyNumberFormat="1" applyFont="1" applyFill="1" applyBorder="1" applyAlignment="1">
      <alignment horizontal="right"/>
    </xf>
    <xf numFmtId="4" fontId="5" fillId="13" borderId="13" xfId="3" applyNumberFormat="1" applyFont="1" applyFill="1" applyBorder="1" applyAlignment="1">
      <alignment horizontal="right"/>
    </xf>
    <xf numFmtId="4" fontId="5" fillId="13" borderId="14" xfId="3" applyNumberFormat="1" applyFont="1" applyFill="1" applyBorder="1" applyAlignment="1">
      <alignment horizontal="right"/>
    </xf>
    <xf numFmtId="168" fontId="9" fillId="13" borderId="17" xfId="1" applyNumberFormat="1" applyFont="1" applyFill="1" applyBorder="1" applyAlignment="1">
      <alignment horizontal="right"/>
    </xf>
    <xf numFmtId="168" fontId="9" fillId="13" borderId="13" xfId="1" applyNumberFormat="1" applyFont="1" applyFill="1" applyBorder="1" applyAlignment="1">
      <alignment horizontal="right"/>
    </xf>
    <xf numFmtId="165" fontId="4" fillId="13" borderId="0" xfId="3" applyNumberFormat="1" applyFont="1" applyFill="1" applyBorder="1" applyAlignment="1">
      <alignment horizontal="right"/>
    </xf>
    <xf numFmtId="165" fontId="4" fillId="13" borderId="13" xfId="3" applyNumberFormat="1" applyFont="1" applyFill="1" applyBorder="1" applyAlignment="1">
      <alignment horizontal="right"/>
    </xf>
    <xf numFmtId="165" fontId="4" fillId="13" borderId="21" xfId="1" applyNumberFormat="1" applyFont="1" applyFill="1" applyBorder="1" applyAlignment="1">
      <alignment horizontal="right"/>
    </xf>
    <xf numFmtId="165" fontId="4" fillId="13" borderId="14" xfId="1" applyNumberFormat="1" applyFont="1" applyFill="1" applyBorder="1" applyAlignment="1">
      <alignment horizontal="right"/>
    </xf>
    <xf numFmtId="165" fontId="4" fillId="13" borderId="14" xfId="1" quotePrefix="1" applyNumberFormat="1" applyFont="1" applyFill="1" applyBorder="1" applyAlignment="1">
      <alignment horizontal="right"/>
    </xf>
    <xf numFmtId="3" fontId="10" fillId="13" borderId="19" xfId="3" applyNumberFormat="1" applyFont="1" applyFill="1" applyBorder="1" applyAlignment="1">
      <alignment horizontal="right"/>
    </xf>
    <xf numFmtId="9" fontId="5" fillId="13" borderId="0" xfId="2" applyFont="1" applyFill="1" applyBorder="1" applyAlignment="1">
      <alignment horizontal="right"/>
    </xf>
    <xf numFmtId="165" fontId="10" fillId="13" borderId="0" xfId="3" applyNumberFormat="1" applyFont="1" applyFill="1" applyBorder="1" applyAlignment="1">
      <alignment horizontal="right"/>
    </xf>
    <xf numFmtId="165" fontId="10" fillId="13" borderId="13" xfId="3" applyNumberFormat="1" applyFont="1" applyFill="1" applyBorder="1" applyAlignment="1">
      <alignment horizontal="right"/>
    </xf>
    <xf numFmtId="165" fontId="5" fillId="13" borderId="0" xfId="3" applyNumberFormat="1" applyFont="1" applyFill="1" applyBorder="1" applyAlignment="1">
      <alignment horizontal="right"/>
    </xf>
    <xf numFmtId="165" fontId="5" fillId="13" borderId="13" xfId="3" applyNumberFormat="1" applyFont="1" applyFill="1" applyBorder="1" applyAlignment="1">
      <alignment horizontal="right"/>
    </xf>
    <xf numFmtId="165" fontId="10" fillId="13" borderId="17" xfId="3" applyNumberFormat="1" applyFont="1" applyFill="1" applyBorder="1" applyAlignment="1">
      <alignment horizontal="right"/>
    </xf>
    <xf numFmtId="0" fontId="11" fillId="12" borderId="31" xfId="3" applyFont="1" applyFill="1" applyBorder="1" applyAlignment="1">
      <alignment horizontal="center"/>
    </xf>
    <xf numFmtId="0" fontId="11" fillId="12" borderId="33" xfId="3" applyFont="1" applyFill="1" applyBorder="1" applyAlignment="1">
      <alignment horizontal="center"/>
    </xf>
    <xf numFmtId="171" fontId="10" fillId="13" borderId="15" xfId="3" applyNumberFormat="1" applyFont="1" applyFill="1" applyBorder="1" applyAlignment="1">
      <alignment horizontal="right"/>
    </xf>
    <xf numFmtId="171" fontId="10" fillId="13" borderId="0" xfId="3" applyNumberFormat="1" applyFont="1" applyFill="1" applyBorder="1" applyAlignment="1">
      <alignment horizontal="right"/>
    </xf>
    <xf numFmtId="171" fontId="10" fillId="13" borderId="17" xfId="3" applyNumberFormat="1" applyFont="1" applyFill="1" applyBorder="1" applyAlignment="1">
      <alignment horizontal="right"/>
    </xf>
    <xf numFmtId="171" fontId="5" fillId="13" borderId="0" xfId="3" applyNumberFormat="1" applyFont="1" applyFill="1" applyBorder="1" applyAlignment="1">
      <alignment horizontal="right"/>
    </xf>
    <xf numFmtId="171" fontId="5" fillId="13" borderId="13" xfId="3" applyNumberFormat="1" applyFont="1" applyFill="1" applyBorder="1" applyAlignment="1">
      <alignment horizontal="right"/>
    </xf>
    <xf numFmtId="171" fontId="10" fillId="13" borderId="19" xfId="3" applyNumberFormat="1" applyFont="1" applyFill="1" applyBorder="1" applyAlignment="1">
      <alignment horizontal="right"/>
    </xf>
    <xf numFmtId="171" fontId="10" fillId="13" borderId="13" xfId="3" applyNumberFormat="1" applyFont="1" applyFill="1" applyBorder="1" applyAlignment="1">
      <alignment horizontal="right"/>
    </xf>
    <xf numFmtId="171" fontId="5" fillId="13" borderId="0" xfId="1" applyNumberFormat="1" applyFont="1" applyFill="1" applyBorder="1" applyAlignment="1">
      <alignment horizontal="right"/>
    </xf>
    <xf numFmtId="171" fontId="5" fillId="13" borderId="13" xfId="1" applyNumberFormat="1" applyFont="1" applyFill="1" applyBorder="1" applyAlignment="1">
      <alignment horizontal="right"/>
    </xf>
    <xf numFmtId="171" fontId="5" fillId="13" borderId="13" xfId="1" quotePrefix="1" applyNumberFormat="1" applyFont="1" applyFill="1" applyBorder="1" applyAlignment="1">
      <alignment horizontal="right"/>
    </xf>
    <xf numFmtId="3" fontId="10" fillId="9" borderId="15" xfId="1" applyNumberFormat="1" applyFont="1" applyFill="1" applyBorder="1" applyAlignment="1">
      <alignment horizontal="right"/>
    </xf>
    <xf numFmtId="3" fontId="10" fillId="9" borderId="19" xfId="1" applyNumberFormat="1" applyFont="1" applyFill="1" applyBorder="1" applyAlignment="1">
      <alignment horizontal="right"/>
    </xf>
    <xf numFmtId="3" fontId="10" fillId="4" borderId="19" xfId="1" applyNumberFormat="1" applyFont="1" applyFill="1" applyBorder="1" applyAlignment="1">
      <alignment horizontal="right"/>
    </xf>
    <xf numFmtId="3" fontId="10" fillId="4" borderId="15" xfId="1" applyNumberFormat="1" applyFont="1" applyFill="1" applyBorder="1" applyAlignment="1">
      <alignment horizontal="right"/>
    </xf>
    <xf numFmtId="3" fontId="10" fillId="6" borderId="19" xfId="1" applyNumberFormat="1" applyFont="1" applyFill="1" applyBorder="1" applyAlignment="1">
      <alignment horizontal="right"/>
    </xf>
    <xf numFmtId="3" fontId="10" fillId="6" borderId="15" xfId="1" applyNumberFormat="1" applyFont="1" applyFill="1" applyBorder="1" applyAlignment="1">
      <alignment horizontal="right"/>
    </xf>
    <xf numFmtId="3" fontId="10" fillId="6" borderId="15" xfId="1" quotePrefix="1" applyNumberFormat="1" applyFont="1" applyFill="1" applyBorder="1" applyAlignment="1">
      <alignment horizontal="right"/>
    </xf>
    <xf numFmtId="3" fontId="10" fillId="13" borderId="19" xfId="1" applyNumberFormat="1" applyFont="1" applyFill="1" applyBorder="1" applyAlignment="1">
      <alignment horizontal="right"/>
    </xf>
    <xf numFmtId="3" fontId="10" fillId="13" borderId="15" xfId="1" applyNumberFormat="1" applyFont="1" applyFill="1" applyBorder="1" applyAlignment="1">
      <alignment horizontal="right"/>
    </xf>
    <xf numFmtId="3" fontId="10" fillId="13" borderId="15" xfId="1" quotePrefix="1" applyNumberFormat="1" applyFont="1" applyFill="1" applyBorder="1" applyAlignment="1">
      <alignment horizontal="right"/>
    </xf>
    <xf numFmtId="0" fontId="17" fillId="0" borderId="0" xfId="0" applyFont="1"/>
    <xf numFmtId="0" fontId="11" fillId="8" borderId="36" xfId="3" applyFont="1" applyFill="1" applyBorder="1" applyAlignment="1">
      <alignment horizontal="center"/>
    </xf>
    <xf numFmtId="0" fontId="11" fillId="3" borderId="36" xfId="3" applyFont="1" applyFill="1" applyBorder="1" applyAlignment="1">
      <alignment horizontal="center"/>
    </xf>
    <xf numFmtId="0" fontId="11" fillId="5" borderId="37" xfId="3" applyFont="1" applyFill="1" applyBorder="1" applyAlignment="1">
      <alignment horizontal="center"/>
    </xf>
    <xf numFmtId="0" fontId="11" fillId="12" borderId="37" xfId="3" applyFont="1" applyFill="1" applyBorder="1" applyAlignment="1">
      <alignment horizontal="center"/>
    </xf>
    <xf numFmtId="165" fontId="4" fillId="13" borderId="0" xfId="1" quotePrefix="1" applyNumberFormat="1" applyFont="1" applyFill="1" applyBorder="1" applyAlignment="1">
      <alignment horizontal="right"/>
    </xf>
    <xf numFmtId="165" fontId="5" fillId="13" borderId="0" xfId="1" quotePrefix="1" applyNumberFormat="1" applyFont="1" applyFill="1" applyBorder="1" applyAlignment="1">
      <alignment horizontal="right"/>
    </xf>
    <xf numFmtId="172" fontId="5" fillId="6" borderId="13" xfId="2" applyNumberFormat="1" applyFont="1" applyFill="1" applyBorder="1" applyAlignment="1">
      <alignment horizontal="right"/>
    </xf>
    <xf numFmtId="172" fontId="5" fillId="13" borderId="13" xfId="2" applyNumberFormat="1" applyFont="1" applyFill="1" applyBorder="1" applyAlignment="1">
      <alignment horizontal="right"/>
    </xf>
    <xf numFmtId="173" fontId="0" fillId="0" borderId="0" xfId="1" applyNumberFormat="1" applyFont="1"/>
    <xf numFmtId="3" fontId="5" fillId="6" borderId="14" xfId="2" applyNumberFormat="1" applyFont="1" applyFill="1" applyBorder="1" applyAlignment="1">
      <alignment horizontal="right"/>
    </xf>
    <xf numFmtId="0" fontId="3" fillId="2" borderId="18" xfId="3" applyFont="1" applyFill="1" applyBorder="1" applyAlignment="1">
      <alignment horizontal="center"/>
    </xf>
    <xf numFmtId="0" fontId="3" fillId="2" borderId="19" xfId="3" applyFont="1" applyFill="1" applyBorder="1" applyAlignment="1">
      <alignment horizontal="center"/>
    </xf>
    <xf numFmtId="0" fontId="3" fillId="2" borderId="38" xfId="3" applyFont="1" applyFill="1" applyBorder="1" applyAlignment="1">
      <alignment horizontal="center"/>
    </xf>
    <xf numFmtId="0" fontId="11" fillId="8" borderId="6" xfId="3" applyFont="1" applyFill="1" applyBorder="1" applyAlignment="1">
      <alignment horizontal="center"/>
    </xf>
    <xf numFmtId="0" fontId="11" fillId="8" borderId="7" xfId="3" applyFont="1" applyFill="1" applyBorder="1" applyAlignment="1">
      <alignment horizontal="center"/>
    </xf>
    <xf numFmtId="0" fontId="11" fillId="3" borderId="5" xfId="3" applyFont="1" applyFill="1" applyBorder="1" applyAlignment="1">
      <alignment horizontal="center"/>
    </xf>
    <xf numFmtId="0" fontId="11" fillId="3" borderId="6" xfId="3" applyFont="1" applyFill="1" applyBorder="1" applyAlignment="1">
      <alignment horizontal="center"/>
    </xf>
    <xf numFmtId="0" fontId="11" fillId="3" borderId="7" xfId="3" applyFont="1" applyFill="1" applyBorder="1" applyAlignment="1">
      <alignment horizontal="center"/>
    </xf>
    <xf numFmtId="0" fontId="11" fillId="5" borderId="5" xfId="3" applyFont="1" applyFill="1" applyBorder="1" applyAlignment="1">
      <alignment horizontal="center"/>
    </xf>
    <xf numFmtId="0" fontId="11" fillId="5" borderId="6" xfId="3" applyFont="1" applyFill="1" applyBorder="1" applyAlignment="1">
      <alignment horizontal="center"/>
    </xf>
    <xf numFmtId="0" fontId="11" fillId="5" borderId="8" xfId="3" applyFont="1" applyFill="1" applyBorder="1" applyAlignment="1">
      <alignment horizontal="center"/>
    </xf>
    <xf numFmtId="0" fontId="11" fillId="8" borderId="5" xfId="3" applyFont="1" applyFill="1" applyBorder="1" applyAlignment="1">
      <alignment horizontal="center"/>
    </xf>
    <xf numFmtId="0" fontId="5" fillId="0" borderId="0" xfId="4" quotePrefix="1" applyFont="1" applyBorder="1" applyAlignment="1">
      <alignment horizontal="left" vertical="center" wrapText="1"/>
    </xf>
    <xf numFmtId="0" fontId="11" fillId="12" borderId="5" xfId="3" applyFont="1" applyFill="1" applyBorder="1" applyAlignment="1">
      <alignment horizontal="center"/>
    </xf>
    <xf numFmtId="0" fontId="11" fillId="12" borderId="6" xfId="3" applyFont="1" applyFill="1" applyBorder="1" applyAlignment="1">
      <alignment horizontal="center"/>
    </xf>
    <xf numFmtId="0" fontId="11" fillId="12" borderId="8" xfId="3" applyFont="1" applyFill="1" applyBorder="1" applyAlignment="1">
      <alignment horizontal="center"/>
    </xf>
    <xf numFmtId="0" fontId="5" fillId="0" borderId="0" xfId="4" quotePrefix="1" applyFont="1" applyBorder="1" applyAlignment="1">
      <alignment horizontal="center" vertical="center" wrapText="1"/>
    </xf>
    <xf numFmtId="0" fontId="5" fillId="0" borderId="22" xfId="0" applyFont="1" applyBorder="1" applyAlignment="1">
      <alignment horizontal="left" vertical="center" wrapText="1"/>
    </xf>
    <xf numFmtId="0" fontId="5" fillId="0" borderId="35" xfId="0" applyFont="1" applyBorder="1" applyAlignment="1">
      <alignment horizontal="left" vertical="center" wrapText="1"/>
    </xf>
    <xf numFmtId="0" fontId="3" fillId="2" borderId="1" xfId="3" applyFont="1" applyFill="1" applyBorder="1" applyAlignment="1">
      <alignment horizontal="left"/>
    </xf>
    <xf numFmtId="0" fontId="3" fillId="2" borderId="2" xfId="3" applyFont="1" applyFill="1" applyBorder="1" applyAlignment="1">
      <alignment horizontal="left"/>
    </xf>
  </cellXfs>
  <cellStyles count="10">
    <cellStyle name="Comma" xfId="1" builtinId="3"/>
    <cellStyle name="Comma 3" xfId="9" xr:uid="{00000000-0005-0000-0000-000001000000}"/>
    <cellStyle name="Normal" xfId="0" builtinId="0"/>
    <cellStyle name="Normal 2" xfId="4" xr:uid="{00000000-0005-0000-0000-000003000000}"/>
    <cellStyle name="Normal_Tables quarterly report 2008" xfId="3" xr:uid="{00000000-0005-0000-0000-000004000000}"/>
    <cellStyle name="Percent" xfId="2" builtinId="5"/>
    <cellStyle name="Q-Free" xfId="7" xr:uid="{00000000-0005-0000-0000-000006000000}"/>
    <cellStyle name="Table figures" xfId="6" xr:uid="{00000000-0005-0000-0000-000007000000}"/>
    <cellStyle name="Tot sum" xfId="8" xr:uid="{00000000-0005-0000-0000-000008000000}"/>
    <cellStyle name="Tusenskille_Tables quarterly report 2008 2" xfId="5" xr:uid="{00000000-0005-0000-0000-000009000000}"/>
  </cellStyles>
  <dxfs count="0"/>
  <tableStyles count="0" defaultTableStyle="TableStyleMedium2" defaultPivotStyle="PivotStyleLight16"/>
  <colors>
    <mruColors>
      <color rgb="FFCBAEE0"/>
      <color rgb="FF8C4DBB"/>
      <color rgb="FFB288D2"/>
      <color rgb="FF66358B"/>
      <color rgb="FFFEB8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69"/>
  <sheetViews>
    <sheetView showGridLines="0" zoomScale="80" zoomScaleNormal="80" zoomScaleSheetLayoutView="80" workbookViewId="0">
      <selection activeCell="AA39" sqref="AA39"/>
    </sheetView>
  </sheetViews>
  <sheetFormatPr defaultRowHeight="14.5"/>
  <cols>
    <col min="1" max="1" width="2.453125" customWidth="1"/>
    <col min="2" max="2" width="24.90625" customWidth="1"/>
    <col min="3" max="18" width="10.54296875" customWidth="1"/>
    <col min="19" max="19" width="3.1796875" customWidth="1"/>
    <col min="21" max="21" width="3.1796875" customWidth="1"/>
    <col min="23" max="23" width="3.1796875" customWidth="1"/>
    <col min="25" max="25" width="3.1796875" customWidth="1"/>
    <col min="27" max="27" width="5.81640625" customWidth="1"/>
    <col min="29" max="29" width="3.1796875" customWidth="1"/>
    <col min="31" max="31" width="3.1796875" customWidth="1"/>
    <col min="32" max="32" width="10.54296875" customWidth="1"/>
    <col min="33" max="33" width="3.1796875" customWidth="1"/>
    <col min="34" max="34" width="10.54296875" customWidth="1"/>
    <col min="35" max="35" width="5.81640625" customWidth="1"/>
    <col min="36" max="36" width="9.453125" customWidth="1"/>
    <col min="37" max="37" width="3.1796875" customWidth="1"/>
    <col min="39" max="39" width="3.1796875" customWidth="1"/>
    <col min="41" max="41" width="3.1796875" customWidth="1"/>
    <col min="43" max="43" width="3.1796875" customWidth="1"/>
  </cols>
  <sheetData>
    <row r="1" spans="2:43" ht="15" thickBot="1"/>
    <row r="2" spans="2:43" ht="16" thickBot="1">
      <c r="B2" s="1" t="s">
        <v>105</v>
      </c>
      <c r="C2" s="11"/>
      <c r="D2" s="11"/>
      <c r="E2" s="11"/>
      <c r="F2" s="11"/>
      <c r="G2" s="11"/>
      <c r="H2" s="11"/>
      <c r="I2" s="11"/>
      <c r="J2" s="11"/>
      <c r="K2" s="11"/>
      <c r="L2" s="11"/>
      <c r="M2" s="11"/>
      <c r="N2" s="11"/>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12"/>
    </row>
    <row r="3" spans="2:43" ht="15.75" customHeight="1" thickBot="1">
      <c r="B3" s="132"/>
      <c r="C3" s="363">
        <v>2016</v>
      </c>
      <c r="D3" s="355"/>
      <c r="E3" s="355"/>
      <c r="F3" s="356"/>
      <c r="G3" s="357">
        <v>2017</v>
      </c>
      <c r="H3" s="358"/>
      <c r="I3" s="358"/>
      <c r="J3" s="359"/>
      <c r="K3" s="360">
        <v>2018</v>
      </c>
      <c r="L3" s="361"/>
      <c r="M3" s="361"/>
      <c r="N3" s="362"/>
      <c r="O3" s="365">
        <v>2019</v>
      </c>
      <c r="P3" s="366"/>
      <c r="Q3" s="366"/>
      <c r="R3" s="367"/>
      <c r="S3" s="13"/>
      <c r="T3" s="352" t="s">
        <v>107</v>
      </c>
      <c r="U3" s="353"/>
      <c r="V3" s="353"/>
      <c r="W3" s="353"/>
      <c r="X3" s="353"/>
      <c r="Y3" s="353"/>
      <c r="Z3" s="354"/>
      <c r="AA3" s="13"/>
      <c r="AB3" s="352" t="s">
        <v>104</v>
      </c>
      <c r="AC3" s="353"/>
      <c r="AD3" s="353"/>
      <c r="AE3" s="353"/>
      <c r="AF3" s="353"/>
      <c r="AG3" s="353"/>
      <c r="AH3" s="354"/>
      <c r="AI3" s="13"/>
      <c r="AJ3" s="352" t="s">
        <v>106</v>
      </c>
      <c r="AK3" s="353"/>
      <c r="AL3" s="353"/>
      <c r="AM3" s="353"/>
      <c r="AN3" s="353"/>
      <c r="AO3" s="353"/>
      <c r="AP3" s="354"/>
      <c r="AQ3" s="13"/>
    </row>
    <row r="4" spans="2:43" ht="15" thickBot="1">
      <c r="B4" s="8" t="s">
        <v>1</v>
      </c>
      <c r="C4" s="147" t="s">
        <v>2</v>
      </c>
      <c r="D4" s="147" t="s">
        <v>3</v>
      </c>
      <c r="E4" s="147" t="s">
        <v>4</v>
      </c>
      <c r="F4" s="148" t="s">
        <v>5</v>
      </c>
      <c r="G4" s="64" t="s">
        <v>2</v>
      </c>
      <c r="H4" s="64" t="s">
        <v>3</v>
      </c>
      <c r="I4" s="64" t="s">
        <v>4</v>
      </c>
      <c r="J4" s="65" t="s">
        <v>5</v>
      </c>
      <c r="K4" s="66" t="s">
        <v>2</v>
      </c>
      <c r="L4" s="66" t="s">
        <v>3</v>
      </c>
      <c r="M4" s="66" t="s">
        <v>4</v>
      </c>
      <c r="N4" s="67" t="s">
        <v>5</v>
      </c>
      <c r="O4" s="265" t="s">
        <v>2</v>
      </c>
      <c r="P4" s="265" t="s">
        <v>3</v>
      </c>
      <c r="Q4" s="265" t="s">
        <v>4</v>
      </c>
      <c r="R4" s="266" t="s">
        <v>5</v>
      </c>
      <c r="T4" s="342">
        <v>2016</v>
      </c>
      <c r="V4" s="343">
        <v>2017</v>
      </c>
      <c r="X4" s="344">
        <v>2018</v>
      </c>
      <c r="Z4" s="345">
        <v>2019</v>
      </c>
      <c r="AA4" s="215"/>
      <c r="AB4" s="342">
        <v>2016</v>
      </c>
      <c r="AD4" s="343">
        <v>2017</v>
      </c>
      <c r="AF4" s="344">
        <v>2018</v>
      </c>
      <c r="AH4" s="345">
        <v>2019</v>
      </c>
      <c r="AI4" s="215"/>
      <c r="AJ4" s="342">
        <v>2016</v>
      </c>
      <c r="AL4" s="343">
        <v>2017</v>
      </c>
      <c r="AN4" s="344">
        <v>2018</v>
      </c>
      <c r="AP4" s="345">
        <v>2019</v>
      </c>
      <c r="AQ4" s="215"/>
    </row>
    <row r="5" spans="2:43">
      <c r="B5" s="72" t="s">
        <v>6</v>
      </c>
      <c r="C5" s="213">
        <f>SUM(Sheet4:Sheet5!C5)</f>
        <v>122414</v>
      </c>
      <c r="D5" s="73">
        <f>SUM(Sheet4:Sheet5!D5)</f>
        <v>123351</v>
      </c>
      <c r="E5" s="73">
        <f>SUM(Sheet4:Sheet5!E5)</f>
        <v>105883</v>
      </c>
      <c r="F5" s="73">
        <f>SUM(Sheet4:Sheet5!F5)</f>
        <v>123868</v>
      </c>
      <c r="G5" s="74">
        <f>SUM(Sheet4:Sheet5!G5)</f>
        <v>120817</v>
      </c>
      <c r="H5" s="74">
        <f>SUM(Sheet4:Sheet5!H5)</f>
        <v>134351</v>
      </c>
      <c r="I5" s="74">
        <f>SUM(Sheet4:Sheet5!I5)</f>
        <v>135744</v>
      </c>
      <c r="J5" s="74">
        <f>SUM(Sheet4:Sheet5!J5)</f>
        <v>161213</v>
      </c>
      <c r="K5" s="75">
        <f>SUM(Sheet4:Sheet5!K5)</f>
        <v>133816</v>
      </c>
      <c r="L5" s="75">
        <f>SUM(Sheet4:Sheet5!L5)</f>
        <v>108784</v>
      </c>
      <c r="M5" s="75">
        <f>SUM(Sheet4:Sheet5!M5)</f>
        <v>115431</v>
      </c>
      <c r="N5" s="75">
        <f>SUM(Sheet4:Sheet5!N5)</f>
        <v>134901</v>
      </c>
      <c r="O5" s="268">
        <f>SUM(Sheet4:Sheet5!O5)</f>
        <v>129107</v>
      </c>
      <c r="P5" s="268"/>
      <c r="Q5" s="268"/>
      <c r="R5" s="268"/>
      <c r="T5" s="73">
        <f>SUM(C5:F5)</f>
        <v>475516</v>
      </c>
      <c r="V5" s="74">
        <f>SUM(G5:J5)</f>
        <v>552125</v>
      </c>
      <c r="X5" s="75">
        <f>SUM(K5:N5)</f>
        <v>492932</v>
      </c>
      <c r="Z5" s="268">
        <f>SUM(O5:R5)</f>
        <v>129107</v>
      </c>
      <c r="AA5" s="215"/>
      <c r="AB5" s="73"/>
      <c r="AD5" s="74"/>
      <c r="AF5" s="75"/>
      <c r="AH5" s="268"/>
      <c r="AI5" s="215"/>
      <c r="AJ5" s="73"/>
      <c r="AL5" s="74"/>
      <c r="AN5" s="75"/>
      <c r="AP5" s="268"/>
      <c r="AQ5" s="215"/>
    </row>
    <row r="6" spans="2:43">
      <c r="B6" s="96" t="s">
        <v>7</v>
      </c>
      <c r="C6" s="73">
        <f>SUM(Sheet4:Sheet5!C6)</f>
        <v>19590</v>
      </c>
      <c r="D6" s="73">
        <f>SUM(Sheet4:Sheet5!D6)</f>
        <v>30911</v>
      </c>
      <c r="E6" s="73">
        <f>SUM(Sheet4:Sheet5!E6)</f>
        <v>29162</v>
      </c>
      <c r="F6" s="73">
        <f>SUM(Sheet4:Sheet5!F6)</f>
        <v>19876</v>
      </c>
      <c r="G6" s="74">
        <f>SUM(Sheet4:Sheet5!G6)</f>
        <v>20871</v>
      </c>
      <c r="H6" s="74">
        <f>SUM(Sheet4:Sheet5!H6)</f>
        <v>16593</v>
      </c>
      <c r="I6" s="74">
        <f>SUM(Sheet4:Sheet5!I6)</f>
        <v>24250</v>
      </c>
      <c r="J6" s="74">
        <f>SUM(Sheet4:Sheet5!J6)</f>
        <v>24766</v>
      </c>
      <c r="K6" s="75">
        <f>SUM(Sheet4:Sheet5!K6)</f>
        <v>12569</v>
      </c>
      <c r="L6" s="75">
        <f>SUM(Sheet4:Sheet5!L6)</f>
        <v>18938</v>
      </c>
      <c r="M6" s="75">
        <f>SUM(Sheet4:Sheet5!M6)</f>
        <v>22057</v>
      </c>
      <c r="N6" s="75">
        <f>SUM(Sheet4:Sheet5!N6)</f>
        <v>9684</v>
      </c>
      <c r="O6" s="268">
        <f>SUM(Sheet4:Sheet5!O6)</f>
        <v>11462</v>
      </c>
      <c r="P6" s="268"/>
      <c r="Q6" s="268"/>
      <c r="R6" s="268"/>
      <c r="T6" s="73">
        <f>SUM(C6:F6)</f>
        <v>99539</v>
      </c>
      <c r="V6" s="74">
        <f>SUM(G6:J6)</f>
        <v>86480</v>
      </c>
      <c r="X6" s="75">
        <f>SUM(K6:N6)</f>
        <v>63248</v>
      </c>
      <c r="Z6" s="268">
        <f t="shared" ref="Z6:Z7" si="0">SUM(O6:R6)</f>
        <v>11462</v>
      </c>
      <c r="AA6" s="215"/>
      <c r="AB6" s="73"/>
      <c r="AD6" s="74"/>
      <c r="AF6" s="75"/>
      <c r="AH6" s="268"/>
      <c r="AI6" s="215"/>
      <c r="AJ6" s="73"/>
      <c r="AL6" s="74"/>
      <c r="AN6" s="75"/>
      <c r="AP6" s="268"/>
      <c r="AQ6" s="215"/>
    </row>
    <row r="7" spans="2:43">
      <c r="B7" s="170" t="s">
        <v>8</v>
      </c>
      <c r="C7" s="77">
        <f>SUM(Sheet4:Sheet5!C7)</f>
        <v>68282</v>
      </c>
      <c r="D7" s="77">
        <f>SUM(Sheet4:Sheet5!D7)</f>
        <v>73713</v>
      </c>
      <c r="E7" s="77">
        <f>SUM(Sheet4:Sheet5!E7)</f>
        <v>62448</v>
      </c>
      <c r="F7" s="77">
        <f>SUM(Sheet4:Sheet5!F7)</f>
        <v>97667</v>
      </c>
      <c r="G7" s="78">
        <f>SUM(Sheet4:Sheet5!G7)</f>
        <v>93978</v>
      </c>
      <c r="H7" s="78">
        <f>SUM(Sheet4:Sheet5!H7)</f>
        <v>89125</v>
      </c>
      <c r="I7" s="78">
        <f>SUM(Sheet4:Sheet5!I7)</f>
        <v>73235</v>
      </c>
      <c r="J7" s="78">
        <f>SUM(Sheet4:Sheet5!J7)</f>
        <v>78532</v>
      </c>
      <c r="K7" s="79">
        <f>SUM(Sheet4:Sheet5!K7)</f>
        <v>57840</v>
      </c>
      <c r="L7" s="79">
        <f>SUM(Sheet4:Sheet5!L7)</f>
        <v>97782</v>
      </c>
      <c r="M7" s="79">
        <f>SUM(Sheet4:Sheet5!M7)</f>
        <v>79987</v>
      </c>
      <c r="N7" s="79">
        <f>SUM(Sheet4:Sheet5!N7)</f>
        <v>96858</v>
      </c>
      <c r="O7" s="296">
        <f>SUM(Sheet4:Sheet5!O7)</f>
        <v>82690</v>
      </c>
      <c r="P7" s="296"/>
      <c r="Q7" s="296"/>
      <c r="R7" s="296"/>
      <c r="T7" s="77">
        <f>SUM(C7:F7)</f>
        <v>302110</v>
      </c>
      <c r="V7" s="78">
        <f>SUM(G7:J7)</f>
        <v>334870</v>
      </c>
      <c r="X7" s="79">
        <f>SUM(K7:N7)</f>
        <v>332467</v>
      </c>
      <c r="Z7" s="268">
        <f t="shared" si="0"/>
        <v>82690</v>
      </c>
      <c r="AA7" s="215"/>
      <c r="AB7" s="77"/>
      <c r="AD7" s="78"/>
      <c r="AF7" s="79"/>
      <c r="AH7" s="268"/>
      <c r="AI7" s="215"/>
      <c r="AJ7" s="77"/>
      <c r="AL7" s="78"/>
      <c r="AN7" s="79"/>
      <c r="AP7" s="268"/>
      <c r="AQ7" s="215"/>
    </row>
    <row r="8" spans="2:43">
      <c r="B8" s="138" t="s">
        <v>9</v>
      </c>
      <c r="C8" s="81">
        <f t="shared" ref="C8:N8" si="1">SUM(C5:C7)</f>
        <v>210286</v>
      </c>
      <c r="D8" s="81">
        <f t="shared" si="1"/>
        <v>227975</v>
      </c>
      <c r="E8" s="81">
        <f t="shared" si="1"/>
        <v>197493</v>
      </c>
      <c r="F8" s="81">
        <f t="shared" si="1"/>
        <v>241411</v>
      </c>
      <c r="G8" s="82">
        <f t="shared" si="1"/>
        <v>235666</v>
      </c>
      <c r="H8" s="82">
        <f t="shared" si="1"/>
        <v>240069</v>
      </c>
      <c r="I8" s="82">
        <f t="shared" si="1"/>
        <v>233229</v>
      </c>
      <c r="J8" s="82">
        <f t="shared" si="1"/>
        <v>264511</v>
      </c>
      <c r="K8" s="83">
        <f t="shared" si="1"/>
        <v>204225</v>
      </c>
      <c r="L8" s="83">
        <f t="shared" si="1"/>
        <v>225504</v>
      </c>
      <c r="M8" s="83">
        <f t="shared" si="1"/>
        <v>217475</v>
      </c>
      <c r="N8" s="83">
        <f t="shared" si="1"/>
        <v>241443</v>
      </c>
      <c r="O8" s="269">
        <f t="shared" ref="O8" si="2">SUM(O5:O7)</f>
        <v>223259</v>
      </c>
      <c r="P8" s="269">
        <f t="shared" ref="P8:R8" si="3">SUM(P5:P7)</f>
        <v>0</v>
      </c>
      <c r="Q8" s="269">
        <f t="shared" si="3"/>
        <v>0</v>
      </c>
      <c r="R8" s="269">
        <f t="shared" si="3"/>
        <v>0</v>
      </c>
      <c r="T8" s="81">
        <f t="shared" ref="T8:V8" si="4">SUM(T5:T7)</f>
        <v>877165</v>
      </c>
      <c r="V8" s="82">
        <f t="shared" si="4"/>
        <v>973475</v>
      </c>
      <c r="X8" s="83">
        <f t="shared" ref="X8:Z8" si="5">SUM(X5:X7)</f>
        <v>888647</v>
      </c>
      <c r="Z8" s="269">
        <f t="shared" si="5"/>
        <v>223259</v>
      </c>
      <c r="AA8" s="215"/>
      <c r="AB8" s="81">
        <f>SUM('P &amp; L'!C5:F5)</f>
        <v>877165</v>
      </c>
      <c r="AD8" s="82">
        <f>SUM('P &amp; L'!G5:J5)</f>
        <v>973475</v>
      </c>
      <c r="AF8" s="83">
        <f>SUM('P &amp; L'!K5:N5)</f>
        <v>888647</v>
      </c>
      <c r="AH8" s="269">
        <f>SUM('P &amp; L'!O5:R5)</f>
        <v>223259</v>
      </c>
      <c r="AI8" s="215"/>
      <c r="AJ8" s="81">
        <f>T8-AB8</f>
        <v>0</v>
      </c>
      <c r="AL8" s="82">
        <f>V8-AD8</f>
        <v>0</v>
      </c>
      <c r="AN8" s="83">
        <f>X8-AF8</f>
        <v>0</v>
      </c>
      <c r="AP8" s="269">
        <f>Z8-AH8</f>
        <v>0</v>
      </c>
      <c r="AQ8" s="215"/>
    </row>
    <row r="9" spans="2:43">
      <c r="B9" s="92"/>
      <c r="C9" s="69"/>
      <c r="D9" s="182"/>
      <c r="E9" s="156"/>
      <c r="F9" s="182"/>
      <c r="G9" s="93"/>
      <c r="H9" s="183"/>
      <c r="I9" s="93"/>
      <c r="J9" s="183"/>
      <c r="K9" s="94"/>
      <c r="L9" s="177"/>
      <c r="M9" s="94"/>
      <c r="N9" s="177"/>
      <c r="O9" s="287"/>
      <c r="P9" s="287"/>
      <c r="Q9" s="271"/>
      <c r="R9" s="287"/>
      <c r="T9" s="182"/>
      <c r="V9" s="183"/>
      <c r="X9" s="177"/>
      <c r="Z9" s="287"/>
      <c r="AA9" s="215"/>
      <c r="AB9" s="182"/>
      <c r="AD9" s="183"/>
      <c r="AF9" s="177"/>
      <c r="AH9" s="287"/>
      <c r="AI9" s="215"/>
      <c r="AJ9" s="182"/>
      <c r="AL9" s="183"/>
      <c r="AN9" s="177"/>
      <c r="AP9" s="287"/>
      <c r="AQ9" s="215"/>
    </row>
    <row r="10" spans="2:43">
      <c r="B10" s="47" t="s">
        <v>10</v>
      </c>
      <c r="C10" s="73">
        <f>SUM(Sheet4:Sheet5!C10)</f>
        <v>61453</v>
      </c>
      <c r="D10" s="73">
        <f>SUM(Sheet4:Sheet5!D10)</f>
        <v>68415</v>
      </c>
      <c r="E10" s="158">
        <f>SUM(Sheet4:Sheet5!E10)</f>
        <v>50378</v>
      </c>
      <c r="F10" s="73">
        <f>SUM(Sheet4:Sheet5!F10)</f>
        <v>101243</v>
      </c>
      <c r="G10" s="117">
        <f>SUM(Sheet4:Sheet5!G10)</f>
        <v>74794</v>
      </c>
      <c r="H10" s="74">
        <f>SUM(Sheet4:Sheet5!H10)</f>
        <v>80170</v>
      </c>
      <c r="I10" s="117">
        <f>SUM(Sheet4:Sheet5!I10)</f>
        <v>58026</v>
      </c>
      <c r="J10" s="74">
        <f>SUM(Sheet4:Sheet5!J10)</f>
        <v>65503</v>
      </c>
      <c r="K10" s="119">
        <f>SUM(Sheet4:Sheet5!K10)</f>
        <v>44243</v>
      </c>
      <c r="L10" s="75">
        <f>SUM(Sheet4:Sheet5!L10)</f>
        <v>60080</v>
      </c>
      <c r="M10" s="119">
        <f>SUM(Sheet4:Sheet5!M10)</f>
        <v>58670</v>
      </c>
      <c r="N10" s="75">
        <f>SUM(Sheet4:Sheet5!N10)</f>
        <v>64198</v>
      </c>
      <c r="O10" s="268">
        <f>SUM(Sheet4:Sheet5!O10)</f>
        <v>73124</v>
      </c>
      <c r="P10" s="268"/>
      <c r="Q10" s="280"/>
      <c r="R10" s="268"/>
      <c r="T10" s="73">
        <f>SUM(C10:F10)</f>
        <v>281489</v>
      </c>
      <c r="V10" s="74">
        <f>SUM(G10:J10)</f>
        <v>278493</v>
      </c>
      <c r="X10" s="75">
        <f>SUM(K10:N10)</f>
        <v>227191</v>
      </c>
      <c r="Z10" s="268">
        <f t="shared" ref="Z10:Z11" si="6">SUM(O10:R10)</f>
        <v>73124</v>
      </c>
      <c r="AA10" s="215"/>
      <c r="AB10" s="73">
        <f>SUM('P &amp; L'!C7:F7)</f>
        <v>281489</v>
      </c>
      <c r="AD10" s="74">
        <f>SUM('P &amp; L'!G7:J7)</f>
        <v>278493</v>
      </c>
      <c r="AF10" s="75">
        <f>SUM('P &amp; L'!K7:N7)</f>
        <v>227191</v>
      </c>
      <c r="AH10" s="268">
        <f>SUM('P &amp; L'!O7:R7)</f>
        <v>73124</v>
      </c>
      <c r="AI10" s="215"/>
      <c r="AJ10" s="73">
        <f t="shared" ref="AJ10:AJ11" si="7">T10-AB10</f>
        <v>0</v>
      </c>
      <c r="AL10" s="74">
        <f t="shared" ref="AL10:AL11" si="8">V10-AD10</f>
        <v>0</v>
      </c>
      <c r="AN10" s="75">
        <f t="shared" ref="AN10:AN11" si="9">X10-AF10</f>
        <v>0</v>
      </c>
      <c r="AP10" s="268">
        <f>Z10-AH10</f>
        <v>0</v>
      </c>
      <c r="AQ10" s="215"/>
    </row>
    <row r="11" spans="2:43">
      <c r="B11" s="47" t="s">
        <v>133</v>
      </c>
      <c r="C11" s="73">
        <f>SUM(Sheet4:Sheet5!C11)</f>
        <v>29761</v>
      </c>
      <c r="D11" s="73">
        <f>SUM(Sheet4:Sheet5!D11)</f>
        <v>29910</v>
      </c>
      <c r="E11" s="158">
        <f>SUM(Sheet4:Sheet5!E11)</f>
        <v>35928</v>
      </c>
      <c r="F11" s="73">
        <f>SUM(Sheet4:Sheet5!F11)</f>
        <v>25167</v>
      </c>
      <c r="G11" s="117">
        <f>SUM(Sheet4:Sheet5!G11)</f>
        <v>22299</v>
      </c>
      <c r="H11" s="74">
        <f>SUM(Sheet4:Sheet5!H11)</f>
        <v>24314</v>
      </c>
      <c r="I11" s="117">
        <f>SUM(Sheet4:Sheet5!I11)</f>
        <v>27544</v>
      </c>
      <c r="J11" s="74">
        <f>SUM(Sheet4:Sheet5!J11)</f>
        <v>29777</v>
      </c>
      <c r="K11" s="119">
        <f>SUM(Sheet4:Sheet5!K11)</f>
        <v>22878</v>
      </c>
      <c r="L11" s="75">
        <f>SUM(Sheet4:Sheet5!L11)</f>
        <v>20743</v>
      </c>
      <c r="M11" s="119">
        <f>SUM(Sheet4:Sheet5!M11)</f>
        <v>22536</v>
      </c>
      <c r="N11" s="75">
        <f>SUM(Sheet4:Sheet5!N11)</f>
        <v>26103</v>
      </c>
      <c r="O11" s="268">
        <f>SUM(Sheet4:Sheet5!O11)</f>
        <v>23857</v>
      </c>
      <c r="P11" s="268"/>
      <c r="Q11" s="280"/>
      <c r="R11" s="268"/>
      <c r="T11" s="73">
        <f>SUM(C11:F11)</f>
        <v>120766</v>
      </c>
      <c r="V11" s="74">
        <f>SUM(G11:J11)</f>
        <v>103934</v>
      </c>
      <c r="X11" s="75">
        <f>SUM(K11:N11)</f>
        <v>92260</v>
      </c>
      <c r="Z11" s="268">
        <f t="shared" si="6"/>
        <v>23857</v>
      </c>
      <c r="AA11" s="215"/>
      <c r="AB11" s="73">
        <f>SUM('P &amp; L'!C8:F8)</f>
        <v>120766</v>
      </c>
      <c r="AD11" s="74">
        <f>SUM('P &amp; L'!G8:J8)</f>
        <v>103934</v>
      </c>
      <c r="AF11" s="75">
        <f>SUM('P &amp; L'!K8:N8)</f>
        <v>92260</v>
      </c>
      <c r="AH11" s="268">
        <f>SUM('P &amp; L'!O8:R8)</f>
        <v>23857</v>
      </c>
      <c r="AI11" s="215"/>
      <c r="AJ11" s="73">
        <f t="shared" si="7"/>
        <v>0</v>
      </c>
      <c r="AL11" s="74">
        <f t="shared" si="8"/>
        <v>0</v>
      </c>
      <c r="AN11" s="75">
        <f t="shared" si="9"/>
        <v>0</v>
      </c>
      <c r="AP11" s="268">
        <f t="shared" ref="AP11" si="10">Z11-AH11</f>
        <v>0</v>
      </c>
      <c r="AQ11" s="215"/>
    </row>
    <row r="12" spans="2:43">
      <c r="B12" s="136" t="s">
        <v>12</v>
      </c>
      <c r="C12" s="81">
        <f t="shared" ref="C12:M12" si="11">C8-C10-C11</f>
        <v>119072</v>
      </c>
      <c r="D12" s="81">
        <f t="shared" si="11"/>
        <v>129650</v>
      </c>
      <c r="E12" s="184">
        <f t="shared" si="11"/>
        <v>111187</v>
      </c>
      <c r="F12" s="81">
        <f t="shared" si="11"/>
        <v>115001</v>
      </c>
      <c r="G12" s="185">
        <f t="shared" si="11"/>
        <v>138573</v>
      </c>
      <c r="H12" s="82">
        <f t="shared" si="11"/>
        <v>135585</v>
      </c>
      <c r="I12" s="185">
        <f t="shared" si="11"/>
        <v>147659</v>
      </c>
      <c r="J12" s="82">
        <f t="shared" si="11"/>
        <v>169231</v>
      </c>
      <c r="K12" s="186">
        <f t="shared" si="11"/>
        <v>137104</v>
      </c>
      <c r="L12" s="83">
        <f t="shared" si="11"/>
        <v>144681</v>
      </c>
      <c r="M12" s="186">
        <f t="shared" si="11"/>
        <v>136269</v>
      </c>
      <c r="N12" s="83">
        <f>N8-N10-N11</f>
        <v>151142</v>
      </c>
      <c r="O12" s="269">
        <f>O8-O10-O11</f>
        <v>126278</v>
      </c>
      <c r="P12" s="269">
        <f t="shared" ref="P12:Q12" si="12">P8-P10-P11</f>
        <v>0</v>
      </c>
      <c r="Q12" s="312">
        <f t="shared" si="12"/>
        <v>0</v>
      </c>
      <c r="R12" s="269">
        <f>R8-R10-R11</f>
        <v>0</v>
      </c>
      <c r="T12" s="81">
        <f>T8-T10-T11</f>
        <v>474910</v>
      </c>
      <c r="V12" s="82">
        <f t="shared" ref="V12" si="13">V8-V10-V11</f>
        <v>591048</v>
      </c>
      <c r="X12" s="83">
        <f t="shared" ref="X12:Z12" si="14">X8-X10-X11</f>
        <v>569196</v>
      </c>
      <c r="Z12" s="269">
        <f t="shared" si="14"/>
        <v>126278</v>
      </c>
      <c r="AA12" s="215"/>
      <c r="AB12" s="81">
        <f>AB8-AB10-AB11</f>
        <v>474910</v>
      </c>
      <c r="AD12" s="82">
        <f t="shared" ref="AD12" si="15">AD8-AD10-AD11</f>
        <v>591048</v>
      </c>
      <c r="AF12" s="83">
        <f t="shared" ref="AF12:AH12" si="16">AF8-AF10-AF11</f>
        <v>569196</v>
      </c>
      <c r="AH12" s="269">
        <f t="shared" si="16"/>
        <v>126278</v>
      </c>
      <c r="AI12" s="215"/>
      <c r="AJ12" s="81">
        <f>AJ8-AJ10-AJ11</f>
        <v>0</v>
      </c>
      <c r="AL12" s="82">
        <f t="shared" ref="AL12" si="17">AL8-AL10-AL11</f>
        <v>0</v>
      </c>
      <c r="AN12" s="83">
        <f t="shared" ref="AN12:AP12" si="18">AN8-AN10-AN11</f>
        <v>0</v>
      </c>
      <c r="AP12" s="269">
        <f t="shared" si="18"/>
        <v>0</v>
      </c>
      <c r="AQ12" s="215"/>
    </row>
    <row r="13" spans="2:43">
      <c r="B13" s="47" t="s">
        <v>13</v>
      </c>
      <c r="C13" s="48">
        <f t="shared" ref="C13:N13" si="19">C12/C8</f>
        <v>0.56623836108918335</v>
      </c>
      <c r="D13" s="48">
        <f t="shared" si="19"/>
        <v>0.56870270863033223</v>
      </c>
      <c r="E13" s="102">
        <f t="shared" si="19"/>
        <v>0.56299210604932837</v>
      </c>
      <c r="F13" s="48">
        <f t="shared" si="19"/>
        <v>0.47637017368719736</v>
      </c>
      <c r="G13" s="49">
        <f t="shared" si="19"/>
        <v>0.58800590666451669</v>
      </c>
      <c r="H13" s="50">
        <f t="shared" si="19"/>
        <v>0.56477512715094413</v>
      </c>
      <c r="I13" s="49">
        <f t="shared" si="19"/>
        <v>0.63310737515489068</v>
      </c>
      <c r="J13" s="50">
        <f t="shared" si="19"/>
        <v>0.63978813735534623</v>
      </c>
      <c r="K13" s="51">
        <f t="shared" si="19"/>
        <v>0.67133798506549147</v>
      </c>
      <c r="L13" s="52">
        <f t="shared" si="19"/>
        <v>0.6415895061728395</v>
      </c>
      <c r="M13" s="51">
        <f t="shared" si="19"/>
        <v>0.62659616047821587</v>
      </c>
      <c r="N13" s="52">
        <f t="shared" si="19"/>
        <v>0.62599454115464104</v>
      </c>
      <c r="O13" s="301">
        <f t="shared" ref="O13" si="20">O12/O8</f>
        <v>0.56561213657680098</v>
      </c>
      <c r="P13" s="301" t="e">
        <f t="shared" ref="P13:R13" si="21">P12/P8</f>
        <v>#DIV/0!</v>
      </c>
      <c r="Q13" s="313" t="e">
        <f t="shared" si="21"/>
        <v>#DIV/0!</v>
      </c>
      <c r="R13" s="301" t="e">
        <f t="shared" si="21"/>
        <v>#DIV/0!</v>
      </c>
      <c r="T13" s="48">
        <f t="shared" ref="T13:V13" si="22">T12/T8</f>
        <v>0.54141467112800901</v>
      </c>
      <c r="V13" s="50">
        <f t="shared" si="22"/>
        <v>0.60715272605870718</v>
      </c>
      <c r="X13" s="52">
        <f t="shared" ref="X13:Z13" si="23">X12/X8</f>
        <v>0.64051980145096987</v>
      </c>
      <c r="Z13" s="301">
        <f t="shared" si="23"/>
        <v>0.56561213657680098</v>
      </c>
      <c r="AA13" s="215"/>
      <c r="AB13" s="48">
        <f t="shared" ref="AB13" si="24">AB12/AB8</f>
        <v>0.54141467112800901</v>
      </c>
      <c r="AD13" s="50">
        <f t="shared" ref="AD13" si="25">AD12/AD8</f>
        <v>0.60715272605870718</v>
      </c>
      <c r="AF13" s="52">
        <f t="shared" ref="AF13:AH13" si="26">AF12/AF8</f>
        <v>0.64051980145096987</v>
      </c>
      <c r="AH13" s="301">
        <f t="shared" si="26"/>
        <v>0.56561213657680098</v>
      </c>
      <c r="AI13" s="215"/>
      <c r="AJ13" s="48" t="e">
        <f t="shared" ref="AJ13" si="27">AJ12/AJ8</f>
        <v>#DIV/0!</v>
      </c>
      <c r="AL13" s="50" t="e">
        <f t="shared" ref="AL13" si="28">AL12/AL8</f>
        <v>#DIV/0!</v>
      </c>
      <c r="AN13" s="52" t="e">
        <f t="shared" ref="AN13:AP13" si="29">AN12/AN8</f>
        <v>#DIV/0!</v>
      </c>
      <c r="AP13" s="301" t="e">
        <f t="shared" si="29"/>
        <v>#DIV/0!</v>
      </c>
      <c r="AQ13" s="215"/>
    </row>
    <row r="14" spans="2:43">
      <c r="B14" s="137"/>
      <c r="C14" s="97"/>
      <c r="D14" s="97"/>
      <c r="E14" s="145"/>
      <c r="F14" s="97"/>
      <c r="G14" s="98"/>
      <c r="H14" s="99"/>
      <c r="I14" s="98"/>
      <c r="J14" s="99"/>
      <c r="K14" s="100"/>
      <c r="L14" s="101"/>
      <c r="M14" s="100"/>
      <c r="N14" s="101"/>
      <c r="O14" s="315"/>
      <c r="P14" s="315"/>
      <c r="Q14" s="314"/>
      <c r="R14" s="315"/>
      <c r="T14" s="97"/>
      <c r="V14" s="99"/>
      <c r="X14" s="101"/>
      <c r="Z14" s="315"/>
      <c r="AA14" s="215"/>
      <c r="AB14" s="97"/>
      <c r="AD14" s="99"/>
      <c r="AF14" s="101"/>
      <c r="AH14" s="315"/>
      <c r="AI14" s="215"/>
      <c r="AJ14" s="97"/>
      <c r="AL14" s="99"/>
      <c r="AN14" s="101"/>
      <c r="AP14" s="315"/>
      <c r="AQ14" s="215"/>
    </row>
    <row r="15" spans="2:43">
      <c r="B15" s="47" t="s">
        <v>14</v>
      </c>
      <c r="C15" s="73">
        <f>SUM(Sheet4:Sheet5!C15)</f>
        <v>114503.78815060001</v>
      </c>
      <c r="D15" s="73">
        <f>SUM(Sheet4:Sheet5!D15)</f>
        <v>120369.15167030002</v>
      </c>
      <c r="E15" s="158">
        <f>SUM(Sheet4:Sheet5!E15)</f>
        <v>136385.0012619</v>
      </c>
      <c r="F15" s="73">
        <f>SUM(Sheet4:Sheet5!F15)</f>
        <v>107997.91932206738</v>
      </c>
      <c r="G15" s="117">
        <f>SUM(Sheet4:Sheet5!G15)</f>
        <v>122352</v>
      </c>
      <c r="H15" s="74">
        <f>SUM(Sheet4:Sheet5!H15)</f>
        <v>114179</v>
      </c>
      <c r="I15" s="117">
        <f>SUM(Sheet4:Sheet5!I15)</f>
        <v>142304</v>
      </c>
      <c r="J15" s="74">
        <f>SUM(Sheet4:Sheet5!J15)</f>
        <v>129622</v>
      </c>
      <c r="K15" s="119">
        <f>SUM(Sheet4:Sheet5!K15)</f>
        <v>120998</v>
      </c>
      <c r="L15" s="75">
        <f>SUM(Sheet4:Sheet5!L15)</f>
        <v>114123</v>
      </c>
      <c r="M15" s="119">
        <f>SUM(Sheet4:Sheet5!M15)</f>
        <v>120477</v>
      </c>
      <c r="N15" s="75">
        <f>SUM(Sheet4:Sheet5!N15)</f>
        <v>142507</v>
      </c>
      <c r="O15" s="268">
        <f>SUM(Sheet4:Sheet5!O15)</f>
        <v>117772</v>
      </c>
      <c r="P15" s="268"/>
      <c r="Q15" s="280"/>
      <c r="R15" s="268"/>
      <c r="S15" s="18"/>
      <c r="T15" s="73">
        <f>SUM(C15:F15)</f>
        <v>479255.86040486745</v>
      </c>
      <c r="V15" s="74">
        <f>SUM(G15:J15)</f>
        <v>508457</v>
      </c>
      <c r="X15" s="75">
        <f>SUM(K15:N15)</f>
        <v>498105</v>
      </c>
      <c r="Z15" s="268">
        <f>SUM(O15:R15)</f>
        <v>117772</v>
      </c>
      <c r="AA15" s="215"/>
      <c r="AB15" s="73">
        <f>SUM('P &amp; L'!C9:F10)</f>
        <v>479256</v>
      </c>
      <c r="AD15" s="74">
        <f>SUM('P &amp; L'!G9:J10)</f>
        <v>508457</v>
      </c>
      <c r="AF15" s="75">
        <f>SUM('P &amp; L'!K9:N10)</f>
        <v>498105</v>
      </c>
      <c r="AH15" s="268">
        <f>SUM('P &amp; L'!O9:R10)</f>
        <v>117772</v>
      </c>
      <c r="AI15" s="216"/>
      <c r="AJ15" s="73">
        <f>T15-AB15</f>
        <v>-0.13959513255394995</v>
      </c>
      <c r="AL15" s="74">
        <f>V15-AD15</f>
        <v>0</v>
      </c>
      <c r="AN15" s="75">
        <f>X15-AF15</f>
        <v>0</v>
      </c>
      <c r="AP15" s="268">
        <f>Z15-AH15</f>
        <v>0</v>
      </c>
      <c r="AQ15" s="215"/>
    </row>
    <row r="16" spans="2:43">
      <c r="B16" s="137"/>
      <c r="C16" s="69"/>
      <c r="D16" s="69"/>
      <c r="E16" s="156"/>
      <c r="F16" s="69"/>
      <c r="G16" s="93"/>
      <c r="H16" s="70"/>
      <c r="I16" s="93"/>
      <c r="J16" s="70"/>
      <c r="K16" s="94"/>
      <c r="L16" s="71"/>
      <c r="M16" s="94"/>
      <c r="N16" s="71"/>
      <c r="O16" s="267"/>
      <c r="P16" s="267"/>
      <c r="Q16" s="271"/>
      <c r="R16" s="267"/>
      <c r="T16" s="69"/>
      <c r="V16" s="70"/>
      <c r="X16" s="71"/>
      <c r="Z16" s="267"/>
      <c r="AA16" s="215"/>
      <c r="AB16" s="69"/>
      <c r="AD16" s="70"/>
      <c r="AF16" s="71"/>
      <c r="AH16" s="267"/>
      <c r="AI16" s="215"/>
      <c r="AJ16" s="69"/>
      <c r="AL16" s="70"/>
      <c r="AN16" s="71"/>
      <c r="AP16" s="267"/>
      <c r="AQ16" s="215"/>
    </row>
    <row r="17" spans="2:43">
      <c r="B17" s="138" t="s">
        <v>15</v>
      </c>
      <c r="C17" s="81">
        <f t="shared" ref="C17:N17" si="30">C12-C15</f>
        <v>4568.2118493999878</v>
      </c>
      <c r="D17" s="81">
        <f t="shared" si="30"/>
        <v>9280.8483296999766</v>
      </c>
      <c r="E17" s="184">
        <f t="shared" si="30"/>
        <v>-25198.001261900004</v>
      </c>
      <c r="F17" s="81">
        <f t="shared" si="30"/>
        <v>7003.0806779326231</v>
      </c>
      <c r="G17" s="185">
        <f t="shared" si="30"/>
        <v>16221</v>
      </c>
      <c r="H17" s="82">
        <f t="shared" si="30"/>
        <v>21406</v>
      </c>
      <c r="I17" s="185">
        <f t="shared" si="30"/>
        <v>5355</v>
      </c>
      <c r="J17" s="82">
        <f t="shared" si="30"/>
        <v>39609</v>
      </c>
      <c r="K17" s="186">
        <f t="shared" si="30"/>
        <v>16106</v>
      </c>
      <c r="L17" s="83">
        <f t="shared" si="30"/>
        <v>30558</v>
      </c>
      <c r="M17" s="186">
        <f t="shared" si="30"/>
        <v>15792</v>
      </c>
      <c r="N17" s="83">
        <f t="shared" si="30"/>
        <v>8635</v>
      </c>
      <c r="O17" s="269">
        <f t="shared" ref="O17" si="31">O12-O15</f>
        <v>8506</v>
      </c>
      <c r="P17" s="269">
        <f t="shared" ref="P17:R17" si="32">P12-P15</f>
        <v>0</v>
      </c>
      <c r="Q17" s="312">
        <f t="shared" si="32"/>
        <v>0</v>
      </c>
      <c r="R17" s="269">
        <f t="shared" si="32"/>
        <v>0</v>
      </c>
      <c r="T17" s="81">
        <f t="shared" ref="T17:V17" si="33">T12-T15</f>
        <v>-4345.8604048674461</v>
      </c>
      <c r="V17" s="82">
        <f t="shared" si="33"/>
        <v>82591</v>
      </c>
      <c r="X17" s="83">
        <f t="shared" ref="X17:Z17" si="34">X12-X15</f>
        <v>71091</v>
      </c>
      <c r="Z17" s="269">
        <f t="shared" si="34"/>
        <v>8506</v>
      </c>
      <c r="AA17" s="215"/>
      <c r="AB17" s="81">
        <f t="shared" ref="AB17" si="35">AB12-AB15</f>
        <v>-4346</v>
      </c>
      <c r="AD17" s="82">
        <f t="shared" ref="AD17" si="36">AD12-AD15</f>
        <v>82591</v>
      </c>
      <c r="AF17" s="83">
        <f t="shared" ref="AF17:AH17" si="37">AF12-AF15</f>
        <v>71091</v>
      </c>
      <c r="AH17" s="269">
        <f t="shared" si="37"/>
        <v>8506</v>
      </c>
      <c r="AI17" s="215"/>
      <c r="AJ17" s="81">
        <f t="shared" ref="AJ17" si="38">AJ12-AJ15</f>
        <v>0.13959513255394995</v>
      </c>
      <c r="AL17" s="82">
        <f t="shared" ref="AL17" si="39">AL12-AL15</f>
        <v>0</v>
      </c>
      <c r="AN17" s="83">
        <f t="shared" ref="AN17:AP17" si="40">AN12-AN15</f>
        <v>0</v>
      </c>
      <c r="AP17" s="269">
        <f t="shared" si="40"/>
        <v>0</v>
      </c>
      <c r="AQ17" s="215"/>
    </row>
    <row r="18" spans="2:43">
      <c r="B18" s="47" t="s">
        <v>16</v>
      </c>
      <c r="C18" s="48">
        <f t="shared" ref="C18:N18" si="41">C17/C8</f>
        <v>2.1723804006923846E-2</v>
      </c>
      <c r="D18" s="48">
        <f t="shared" si="41"/>
        <v>4.0709938939357281E-2</v>
      </c>
      <c r="E18" s="102">
        <f t="shared" si="41"/>
        <v>-0.12758933866972502</v>
      </c>
      <c r="F18" s="48">
        <f t="shared" si="41"/>
        <v>2.9008954347285846E-2</v>
      </c>
      <c r="G18" s="49">
        <f t="shared" si="41"/>
        <v>6.8830463452513299E-2</v>
      </c>
      <c r="H18" s="50">
        <f t="shared" si="41"/>
        <v>8.9166031432629786E-2</v>
      </c>
      <c r="I18" s="49">
        <f t="shared" si="41"/>
        <v>2.2960266519172143E-2</v>
      </c>
      <c r="J18" s="50">
        <f t="shared" si="41"/>
        <v>0.14974424504084896</v>
      </c>
      <c r="K18" s="51">
        <f t="shared" si="41"/>
        <v>7.8863998041375935E-2</v>
      </c>
      <c r="L18" s="52">
        <f t="shared" si="41"/>
        <v>0.13550979140059599</v>
      </c>
      <c r="M18" s="51">
        <f t="shared" si="41"/>
        <v>7.2615243131394419E-2</v>
      </c>
      <c r="N18" s="52">
        <f t="shared" si="41"/>
        <v>3.5764134806144723E-2</v>
      </c>
      <c r="O18" s="301">
        <f t="shared" ref="O18" si="42">O17/O8</f>
        <v>3.8099247958648927E-2</v>
      </c>
      <c r="P18" s="301" t="e">
        <f t="shared" ref="P18:R18" si="43">P17/P8</f>
        <v>#DIV/0!</v>
      </c>
      <c r="Q18" s="313" t="e">
        <f t="shared" si="43"/>
        <v>#DIV/0!</v>
      </c>
      <c r="R18" s="301" t="e">
        <f t="shared" si="43"/>
        <v>#DIV/0!</v>
      </c>
      <c r="T18" s="48">
        <f t="shared" ref="T18:V18" si="44">T17/T8</f>
        <v>-4.9544389081500589E-3</v>
      </c>
      <c r="V18" s="50">
        <f t="shared" si="44"/>
        <v>8.4841418629137882E-2</v>
      </c>
      <c r="X18" s="52">
        <f t="shared" ref="X18:Z18" si="45">X17/X8</f>
        <v>7.9999144767269798E-2</v>
      </c>
      <c r="Z18" s="301">
        <f t="shared" si="45"/>
        <v>3.8099247958648927E-2</v>
      </c>
      <c r="AA18" s="215"/>
      <c r="AB18" s="48">
        <f t="shared" ref="AB18" si="46">AB17/AB8</f>
        <v>-4.9545980516778488E-3</v>
      </c>
      <c r="AD18" s="50">
        <f t="shared" ref="AD18" si="47">AD17/AD8</f>
        <v>8.4841418629137882E-2</v>
      </c>
      <c r="AF18" s="52">
        <f t="shared" ref="AF18:AH18" si="48">AF17/AF8</f>
        <v>7.9999144767269798E-2</v>
      </c>
      <c r="AH18" s="301">
        <f t="shared" si="48"/>
        <v>3.8099247958648927E-2</v>
      </c>
      <c r="AI18" s="215"/>
      <c r="AJ18" s="48" t="e">
        <f t="shared" ref="AJ18" si="49">AJ17/AJ8</f>
        <v>#DIV/0!</v>
      </c>
      <c r="AL18" s="50" t="e">
        <f t="shared" ref="AL18" si="50">AL17/AL8</f>
        <v>#DIV/0!</v>
      </c>
      <c r="AN18" s="52" t="e">
        <f t="shared" ref="AN18:AP18" si="51">AN17/AN8</f>
        <v>#DIV/0!</v>
      </c>
      <c r="AP18" s="301" t="e">
        <f t="shared" si="51"/>
        <v>#DIV/0!</v>
      </c>
      <c r="AQ18" s="215"/>
    </row>
    <row r="19" spans="2:43">
      <c r="B19" s="139"/>
      <c r="C19" s="32"/>
      <c r="D19" s="32"/>
      <c r="E19" s="146"/>
      <c r="F19" s="32"/>
      <c r="G19" s="33"/>
      <c r="H19" s="34"/>
      <c r="I19" s="33"/>
      <c r="J19" s="34"/>
      <c r="K19" s="35"/>
      <c r="L19" s="36"/>
      <c r="M19" s="35"/>
      <c r="N19" s="36"/>
      <c r="O19" s="317"/>
      <c r="P19" s="317"/>
      <c r="Q19" s="316"/>
      <c r="R19" s="317"/>
      <c r="T19" s="32"/>
      <c r="V19" s="34"/>
      <c r="X19" s="36"/>
      <c r="Z19" s="317"/>
      <c r="AA19" s="215"/>
      <c r="AB19" s="32"/>
      <c r="AD19" s="34"/>
      <c r="AF19" s="36"/>
      <c r="AH19" s="317"/>
      <c r="AI19" s="215"/>
      <c r="AJ19" s="32"/>
      <c r="AL19" s="34"/>
      <c r="AN19" s="36"/>
      <c r="AP19" s="317"/>
      <c r="AQ19" s="215"/>
    </row>
    <row r="20" spans="2:43">
      <c r="B20" s="47" t="s">
        <v>17</v>
      </c>
      <c r="C20" s="120">
        <f>SUM(Sheet4:Sheet5!C20)</f>
        <v>7192</v>
      </c>
      <c r="D20" s="120">
        <f>SUM(Sheet4:Sheet5!D20)</f>
        <v>7117</v>
      </c>
      <c r="E20" s="159">
        <f>SUM(Sheet4:Sheet5!E20)</f>
        <v>7699</v>
      </c>
      <c r="F20" s="120">
        <f>SUM(Sheet4:Sheet5!F20)</f>
        <v>10416</v>
      </c>
      <c r="G20" s="121">
        <f>SUM(Sheet4:Sheet5!G20)</f>
        <v>9136</v>
      </c>
      <c r="H20" s="122">
        <f>SUM(Sheet4:Sheet5!H20)</f>
        <v>9139</v>
      </c>
      <c r="I20" s="121">
        <f>SUM(Sheet4:Sheet5!I20)</f>
        <v>8801</v>
      </c>
      <c r="J20" s="122">
        <f>SUM(Sheet4:Sheet5!J20)</f>
        <v>8439</v>
      </c>
      <c r="K20" s="118">
        <f>SUM(Sheet4:Sheet5!K20)</f>
        <v>7415</v>
      </c>
      <c r="L20" s="178">
        <f>SUM(Sheet4:Sheet5!L20)</f>
        <v>7075</v>
      </c>
      <c r="M20" s="118">
        <f>SUM(Sheet4:Sheet5!M20)</f>
        <v>6434</v>
      </c>
      <c r="N20" s="187">
        <f>SUM(Sheet4:Sheet5!N20)</f>
        <v>7377</v>
      </c>
      <c r="O20" s="290">
        <f>SUM(Sheet4:Sheet5!O20)</f>
        <v>14467</v>
      </c>
      <c r="P20" s="288"/>
      <c r="Q20" s="279"/>
      <c r="R20" s="290"/>
      <c r="T20" s="120">
        <f>SUM(C20:F20)</f>
        <v>32424</v>
      </c>
      <c r="V20" s="122">
        <f>SUM(G20:J20)</f>
        <v>35515</v>
      </c>
      <c r="X20" s="187">
        <f>SUM(K20:N20)</f>
        <v>28301</v>
      </c>
      <c r="Z20" s="268">
        <f t="shared" ref="Z20:Z21" si="52">SUM(O20:R20)</f>
        <v>14467</v>
      </c>
      <c r="AA20" s="215"/>
      <c r="AB20" s="120">
        <f>SUM('P &amp; L'!C15:F15)</f>
        <v>54761</v>
      </c>
      <c r="AD20" s="122">
        <f>SUM('P &amp; L'!G15:J16)</f>
        <v>78364</v>
      </c>
      <c r="AF20" s="187">
        <f>SUM('P &amp; L'!K15:N16)</f>
        <v>47401</v>
      </c>
      <c r="AH20" s="268">
        <f>SUM('P &amp; L'!O15:R16)</f>
        <v>19161</v>
      </c>
      <c r="AI20" s="215"/>
      <c r="AJ20" s="120">
        <f>SUM(T20:T22)-AB20</f>
        <v>0</v>
      </c>
      <c r="AL20" s="122">
        <f>SUM(V20:V22)-AD20</f>
        <v>0</v>
      </c>
      <c r="AN20" s="187">
        <f>SUM(X20:X22)-AF20</f>
        <v>0</v>
      </c>
      <c r="AP20" s="268">
        <f>SUM(Z20:Z22)-AH20</f>
        <v>0</v>
      </c>
      <c r="AQ20" s="215"/>
    </row>
    <row r="21" spans="2:43">
      <c r="B21" s="47" t="s">
        <v>18</v>
      </c>
      <c r="C21" s="120">
        <f>SUM(Sheet4:Sheet5!C21)</f>
        <v>6480</v>
      </c>
      <c r="D21" s="120">
        <f>SUM(Sheet4:Sheet5!D21)</f>
        <v>6152</v>
      </c>
      <c r="E21" s="120">
        <f>SUM(Sheet4:Sheet5!E21)</f>
        <v>5543</v>
      </c>
      <c r="F21" s="120">
        <f>SUM(Sheet4:Sheet5!F21)</f>
        <v>4162</v>
      </c>
      <c r="G21" s="121">
        <f>SUM(Sheet4:Sheet5!G21)</f>
        <v>5253</v>
      </c>
      <c r="H21" s="122">
        <f>SUM(Sheet4:Sheet5!H21)</f>
        <v>5375</v>
      </c>
      <c r="I21" s="122">
        <f>SUM(Sheet4:Sheet5!I21)</f>
        <v>5115</v>
      </c>
      <c r="J21" s="122">
        <f>SUM(Sheet4:Sheet5!J21)</f>
        <v>5230</v>
      </c>
      <c r="K21" s="118">
        <f>SUM(Sheet4:Sheet5!K21)</f>
        <v>4995</v>
      </c>
      <c r="L21" s="178">
        <f>SUM(Sheet4:Sheet5!L21)</f>
        <v>4700</v>
      </c>
      <c r="M21" s="118">
        <f>SUM(Sheet4:Sheet5!M21)</f>
        <v>4518</v>
      </c>
      <c r="N21" s="187">
        <f>SUM(Sheet4:Sheet5!N21)</f>
        <v>4609</v>
      </c>
      <c r="O21" s="290">
        <f>SUM(Sheet4:Sheet5!O21)</f>
        <v>4694</v>
      </c>
      <c r="P21" s="288"/>
      <c r="Q21" s="279"/>
      <c r="R21" s="290"/>
      <c r="T21" s="120">
        <f>SUM(C21:F21)</f>
        <v>22337</v>
      </c>
      <c r="V21" s="122">
        <f>SUM(G21:J21)</f>
        <v>20973</v>
      </c>
      <c r="X21" s="187">
        <f>SUM(K21:N21)</f>
        <v>18822</v>
      </c>
      <c r="Z21" s="268">
        <f t="shared" si="52"/>
        <v>4694</v>
      </c>
      <c r="AA21" s="215"/>
      <c r="AB21" s="120"/>
      <c r="AD21" s="122"/>
      <c r="AF21" s="187"/>
      <c r="AH21" s="268"/>
      <c r="AI21" s="215"/>
      <c r="AJ21" s="120"/>
      <c r="AL21" s="122"/>
      <c r="AN21" s="187"/>
      <c r="AP21" s="268"/>
      <c r="AQ21" s="215"/>
    </row>
    <row r="22" spans="2:43">
      <c r="B22" s="47" t="s">
        <v>19</v>
      </c>
      <c r="C22" s="120">
        <f>SUM(Sheet4:Sheet5!C22)</f>
        <v>0</v>
      </c>
      <c r="D22" s="120">
        <f>SUM(Sheet4:Sheet5!D22)</f>
        <v>0</v>
      </c>
      <c r="E22" s="120">
        <f>SUM(Sheet4:Sheet5!E22)</f>
        <v>0</v>
      </c>
      <c r="F22" s="120">
        <f>SUM(Sheet4:Sheet5!F22)</f>
        <v>0</v>
      </c>
      <c r="G22" s="121">
        <f>SUM(Sheet4:Sheet5!G22)</f>
        <v>0</v>
      </c>
      <c r="H22" s="122">
        <f>SUM(Sheet4:Sheet5!H22)</f>
        <v>0</v>
      </c>
      <c r="I22" s="122">
        <f>SUM(Sheet4:Sheet5!I22)</f>
        <v>0</v>
      </c>
      <c r="J22" s="122">
        <f>SUM(Sheet4:Sheet5!J22)</f>
        <v>21876</v>
      </c>
      <c r="K22" s="118">
        <f>SUM(Sheet4:Sheet5!K22)</f>
        <v>0</v>
      </c>
      <c r="L22" s="178">
        <f>SUM(Sheet4:Sheet5!L22)</f>
        <v>278</v>
      </c>
      <c r="M22" s="118">
        <f>SUM(Sheet4:Sheet5!M22)</f>
        <v>0</v>
      </c>
      <c r="N22" s="187">
        <f>SUM(Sheet4:Sheet5!N22)</f>
        <v>0</v>
      </c>
      <c r="O22" s="290">
        <f>SUM(Sheet4:Sheet5!O22)</f>
        <v>0</v>
      </c>
      <c r="P22" s="288"/>
      <c r="Q22" s="279"/>
      <c r="R22" s="290"/>
      <c r="T22" s="120">
        <f>SUM(C22:F22)</f>
        <v>0</v>
      </c>
      <c r="V22" s="122">
        <f>SUM(G22:J22)</f>
        <v>21876</v>
      </c>
      <c r="X22" s="187">
        <f>SUM(K22:N22)</f>
        <v>278</v>
      </c>
      <c r="Z22" s="268">
        <f>SUM(O22:R22)</f>
        <v>0</v>
      </c>
      <c r="AA22" s="215"/>
      <c r="AB22" s="120"/>
      <c r="AD22" s="122"/>
      <c r="AF22" s="187"/>
      <c r="AH22" s="268"/>
      <c r="AI22" s="215"/>
      <c r="AJ22" s="120"/>
      <c r="AL22" s="122"/>
      <c r="AN22" s="187"/>
      <c r="AP22" s="268"/>
      <c r="AQ22" s="215"/>
    </row>
    <row r="23" spans="2:43">
      <c r="B23" s="140"/>
      <c r="C23" s="120"/>
      <c r="D23" s="120"/>
      <c r="E23" s="159"/>
      <c r="F23" s="120"/>
      <c r="G23" s="121"/>
      <c r="H23" s="122"/>
      <c r="I23" s="121"/>
      <c r="J23" s="122"/>
      <c r="K23" s="118"/>
      <c r="L23" s="178"/>
      <c r="M23" s="118"/>
      <c r="N23" s="187"/>
      <c r="O23" s="290"/>
      <c r="P23" s="288"/>
      <c r="Q23" s="279"/>
      <c r="R23" s="290"/>
      <c r="T23" s="120"/>
      <c r="V23" s="122"/>
      <c r="X23" s="187"/>
      <c r="Z23" s="290"/>
      <c r="AA23" s="215"/>
      <c r="AB23" s="120"/>
      <c r="AD23" s="122"/>
      <c r="AF23" s="187"/>
      <c r="AH23" s="290"/>
      <c r="AI23" s="215"/>
      <c r="AJ23" s="120"/>
      <c r="AL23" s="122"/>
      <c r="AN23" s="187"/>
      <c r="AP23" s="290"/>
      <c r="AQ23" s="215"/>
    </row>
    <row r="24" spans="2:43">
      <c r="B24" s="138" t="s">
        <v>20</v>
      </c>
      <c r="C24" s="81">
        <f>C17-C20-C21-C22</f>
        <v>-9103.7881506000122</v>
      </c>
      <c r="D24" s="81">
        <f t="shared" ref="D24:F24" si="53">D17-D20-D21-D22</f>
        <v>-3988.1516703000234</v>
      </c>
      <c r="E24" s="184">
        <f t="shared" si="53"/>
        <v>-38440.001261900004</v>
      </c>
      <c r="F24" s="81">
        <f t="shared" si="53"/>
        <v>-7574.9193220673769</v>
      </c>
      <c r="G24" s="185">
        <f>G17-G20-G21-G22</f>
        <v>1832</v>
      </c>
      <c r="H24" s="82">
        <f t="shared" ref="H24:N24" si="54">H17-H20-H21-H22</f>
        <v>6892</v>
      </c>
      <c r="I24" s="185">
        <f t="shared" si="54"/>
        <v>-8561</v>
      </c>
      <c r="J24" s="82">
        <f t="shared" si="54"/>
        <v>4064</v>
      </c>
      <c r="K24" s="186">
        <f t="shared" si="54"/>
        <v>3696</v>
      </c>
      <c r="L24" s="83">
        <f t="shared" si="54"/>
        <v>18505</v>
      </c>
      <c r="M24" s="186">
        <f t="shared" si="54"/>
        <v>4840</v>
      </c>
      <c r="N24" s="83">
        <f t="shared" si="54"/>
        <v>-3351</v>
      </c>
      <c r="O24" s="269">
        <f t="shared" ref="O24" si="55">O17-O20-O21-O22</f>
        <v>-10655</v>
      </c>
      <c r="P24" s="269">
        <f t="shared" ref="P24:R24" si="56">P17-P20-P21-P22</f>
        <v>0</v>
      </c>
      <c r="Q24" s="312">
        <f t="shared" si="56"/>
        <v>0</v>
      </c>
      <c r="R24" s="269">
        <f t="shared" si="56"/>
        <v>0</v>
      </c>
      <c r="T24" s="81">
        <f t="shared" ref="T24:V24" si="57">T17-T20-T21-T22</f>
        <v>-59106.860404867446</v>
      </c>
      <c r="V24" s="82">
        <f t="shared" si="57"/>
        <v>4227</v>
      </c>
      <c r="X24" s="83">
        <f t="shared" ref="X24:Z24" si="58">X17-X20-X21-X22</f>
        <v>23690</v>
      </c>
      <c r="Z24" s="269">
        <f t="shared" si="58"/>
        <v>-10655</v>
      </c>
      <c r="AA24" s="215"/>
      <c r="AB24" s="81">
        <f t="shared" ref="AB24" si="59">AB17-AB20-AB21-AB22</f>
        <v>-59107</v>
      </c>
      <c r="AD24" s="82">
        <f t="shared" ref="AD24" si="60">AD17-AD20-AD21-AD22</f>
        <v>4227</v>
      </c>
      <c r="AF24" s="83">
        <f t="shared" ref="AF24:AH24" si="61">AF17-AF20-AF21-AF22</f>
        <v>23690</v>
      </c>
      <c r="AH24" s="269">
        <f t="shared" si="61"/>
        <v>-10655</v>
      </c>
      <c r="AI24" s="215"/>
      <c r="AJ24" s="81">
        <f t="shared" ref="AJ24" si="62">AJ17-AJ20-AJ21-AJ22</f>
        <v>0.13959513255394995</v>
      </c>
      <c r="AL24" s="82">
        <f t="shared" ref="AL24" si="63">AL17-AL20-AL21-AL22</f>
        <v>0</v>
      </c>
      <c r="AN24" s="83">
        <f t="shared" ref="AN24:AP24" si="64">AN17-AN20-AN21-AN22</f>
        <v>0</v>
      </c>
      <c r="AP24" s="269">
        <f t="shared" si="64"/>
        <v>0</v>
      </c>
      <c r="AQ24" s="215"/>
    </row>
    <row r="25" spans="2:43">
      <c r="B25" s="47" t="s">
        <v>21</v>
      </c>
      <c r="C25" s="102">
        <f>C24/C8</f>
        <v>-4.3292412003652227E-2</v>
      </c>
      <c r="D25" s="102">
        <f t="shared" ref="D25:F25" si="65">D24/D8</f>
        <v>-1.7493811471872019E-2</v>
      </c>
      <c r="E25" s="102">
        <f t="shared" si="65"/>
        <v>-0.19463981640817651</v>
      </c>
      <c r="F25" s="102">
        <f t="shared" si="65"/>
        <v>-3.1377689177657098E-2</v>
      </c>
      <c r="G25" s="49">
        <f>G24/G8</f>
        <v>7.7737136455831562E-3</v>
      </c>
      <c r="H25" s="49">
        <f t="shared" ref="H25:N25" si="66">H24/H8</f>
        <v>2.8708412997929762E-2</v>
      </c>
      <c r="I25" s="49">
        <f t="shared" si="66"/>
        <v>-3.6706413010388933E-2</v>
      </c>
      <c r="J25" s="49">
        <f t="shared" si="66"/>
        <v>1.5364200354616633E-2</v>
      </c>
      <c r="K25" s="51">
        <f t="shared" si="66"/>
        <v>1.8097686375321338E-2</v>
      </c>
      <c r="L25" s="51">
        <f t="shared" si="66"/>
        <v>8.2060628636299135E-2</v>
      </c>
      <c r="M25" s="51">
        <f t="shared" si="66"/>
        <v>2.2255431658811359E-2</v>
      </c>
      <c r="N25" s="51">
        <f t="shared" si="66"/>
        <v>-1.3879052198655583E-2</v>
      </c>
      <c r="O25" s="313">
        <f t="shared" ref="O25" si="67">O24/O8</f>
        <v>-4.7724839760099259E-2</v>
      </c>
      <c r="P25" s="313" t="e">
        <f t="shared" ref="P25:R25" si="68">P24/P8</f>
        <v>#DIV/0!</v>
      </c>
      <c r="Q25" s="313" t="e">
        <f t="shared" si="68"/>
        <v>#DIV/0!</v>
      </c>
      <c r="R25" s="313" t="e">
        <f t="shared" si="68"/>
        <v>#DIV/0!</v>
      </c>
      <c r="T25" s="102">
        <f t="shared" ref="T25:V25" si="69">T24/T8</f>
        <v>-6.7383970410204969E-2</v>
      </c>
      <c r="V25" s="49">
        <f t="shared" si="69"/>
        <v>4.3421762243509082E-3</v>
      </c>
      <c r="X25" s="51">
        <f t="shared" ref="X25:Z25" si="70">X24/X8</f>
        <v>2.6658504445522237E-2</v>
      </c>
      <c r="Z25" s="313">
        <f t="shared" si="70"/>
        <v>-4.7724839760099259E-2</v>
      </c>
      <c r="AA25" s="215"/>
      <c r="AB25" s="102">
        <f t="shared" ref="AB25" si="71">AB24/AB8</f>
        <v>-6.7384129553732769E-2</v>
      </c>
      <c r="AD25" s="49">
        <f t="shared" ref="AD25" si="72">AD24/AD8</f>
        <v>4.3421762243509082E-3</v>
      </c>
      <c r="AF25" s="51">
        <f t="shared" ref="AF25:AH25" si="73">AF24/AF8</f>
        <v>2.6658504445522237E-2</v>
      </c>
      <c r="AH25" s="313">
        <f t="shared" si="73"/>
        <v>-4.7724839760099259E-2</v>
      </c>
      <c r="AI25" s="215"/>
      <c r="AJ25" s="102" t="e">
        <f t="shared" ref="AJ25" si="74">AJ24/AJ8</f>
        <v>#DIV/0!</v>
      </c>
      <c r="AL25" s="49" t="e">
        <f t="shared" ref="AL25" si="75">AL24/AL8</f>
        <v>#DIV/0!</v>
      </c>
      <c r="AN25" s="51" t="e">
        <f t="shared" ref="AN25:AP25" si="76">AN24/AN8</f>
        <v>#DIV/0!</v>
      </c>
      <c r="AP25" s="313" t="e">
        <f t="shared" si="76"/>
        <v>#DIV/0!</v>
      </c>
      <c r="AQ25" s="215"/>
    </row>
    <row r="26" spans="2:43" ht="15.5">
      <c r="B26" s="10"/>
      <c r="C26" s="217"/>
      <c r="D26" s="217"/>
      <c r="E26" s="217"/>
      <c r="F26" s="217"/>
      <c r="G26" s="217"/>
      <c r="H26" s="217"/>
      <c r="I26" s="217"/>
      <c r="J26" s="217"/>
      <c r="K26" s="217"/>
      <c r="L26" s="217"/>
      <c r="M26" s="217"/>
      <c r="N26" s="217"/>
      <c r="O26" s="217"/>
      <c r="P26" s="217"/>
      <c r="Q26" s="217"/>
      <c r="R26" s="217"/>
      <c r="S26" s="215"/>
      <c r="T26" s="14"/>
      <c r="U26" s="215"/>
      <c r="V26" s="215"/>
      <c r="W26" s="215"/>
      <c r="X26" s="215"/>
      <c r="Y26" s="215"/>
      <c r="Z26" s="215"/>
      <c r="AA26" s="215"/>
      <c r="AB26" s="14"/>
      <c r="AC26" s="215"/>
      <c r="AD26" s="215"/>
      <c r="AE26" s="215"/>
      <c r="AF26" s="215"/>
      <c r="AG26" s="215"/>
      <c r="AH26" s="215"/>
      <c r="AI26" s="215"/>
      <c r="AJ26" s="14"/>
      <c r="AK26" s="215"/>
      <c r="AL26" s="215"/>
      <c r="AM26" s="215"/>
      <c r="AN26" s="215"/>
      <c r="AO26" s="215"/>
      <c r="AP26" s="215"/>
      <c r="AQ26" s="215"/>
    </row>
    <row r="27" spans="2:43" ht="33" customHeight="1">
      <c r="B27" s="364" t="s">
        <v>22</v>
      </c>
      <c r="C27" s="364"/>
      <c r="D27" s="364"/>
      <c r="E27" s="364"/>
      <c r="F27" s="364"/>
      <c r="G27" s="364"/>
      <c r="H27" s="364"/>
      <c r="I27" s="364"/>
      <c r="J27" s="364"/>
      <c r="K27" s="364"/>
      <c r="L27" s="364"/>
      <c r="M27" s="364"/>
      <c r="N27" s="364"/>
      <c r="O27" s="262"/>
      <c r="P27" s="262"/>
      <c r="Q27" s="262"/>
      <c r="R27" s="262"/>
      <c r="T27" s="212"/>
      <c r="AB27" s="212"/>
      <c r="AJ27" s="212"/>
    </row>
    <row r="28" spans="2:43" ht="15" thickBot="1"/>
    <row r="29" spans="2:43" ht="16" thickBot="1">
      <c r="B29" s="228" t="s">
        <v>104</v>
      </c>
      <c r="C29" s="355">
        <v>2016</v>
      </c>
      <c r="D29" s="355"/>
      <c r="E29" s="355"/>
      <c r="F29" s="356"/>
      <c r="G29" s="357">
        <v>2017</v>
      </c>
      <c r="H29" s="358"/>
      <c r="I29" s="358"/>
      <c r="J29" s="359"/>
      <c r="K29" s="360">
        <v>2018</v>
      </c>
      <c r="L29" s="361"/>
      <c r="M29" s="361"/>
      <c r="N29" s="362"/>
      <c r="O29" s="365">
        <v>2019</v>
      </c>
      <c r="P29" s="366"/>
      <c r="Q29" s="366"/>
      <c r="R29" s="367"/>
    </row>
    <row r="30" spans="2:43">
      <c r="B30" s="76" t="s">
        <v>1</v>
      </c>
      <c r="C30" s="227" t="s">
        <v>2</v>
      </c>
      <c r="D30" s="219" t="s">
        <v>3</v>
      </c>
      <c r="E30" s="219" t="s">
        <v>4</v>
      </c>
      <c r="F30" s="220" t="s">
        <v>5</v>
      </c>
      <c r="G30" s="221" t="s">
        <v>2</v>
      </c>
      <c r="H30" s="221" t="s">
        <v>3</v>
      </c>
      <c r="I30" s="221" t="s">
        <v>4</v>
      </c>
      <c r="J30" s="222" t="s">
        <v>5</v>
      </c>
      <c r="K30" s="223" t="s">
        <v>2</v>
      </c>
      <c r="L30" s="223" t="s">
        <v>3</v>
      </c>
      <c r="M30" s="223" t="s">
        <v>4</v>
      </c>
      <c r="N30" s="224" t="s">
        <v>5</v>
      </c>
      <c r="O30" s="319" t="s">
        <v>2</v>
      </c>
      <c r="P30" s="319" t="s">
        <v>3</v>
      </c>
      <c r="Q30" s="319" t="s">
        <v>4</v>
      </c>
      <c r="R30" s="320" t="s">
        <v>5</v>
      </c>
    </row>
    <row r="31" spans="2:43">
      <c r="B31" s="138" t="s">
        <v>9</v>
      </c>
      <c r="C31" s="81">
        <f>'P &amp; L'!C5</f>
        <v>210286</v>
      </c>
      <c r="D31" s="81">
        <f>'P &amp; L'!D5</f>
        <v>227975</v>
      </c>
      <c r="E31" s="81">
        <f>'P &amp; L'!E5</f>
        <v>197493</v>
      </c>
      <c r="F31" s="81">
        <f>'P &amp; L'!F5</f>
        <v>241411</v>
      </c>
      <c r="G31" s="82">
        <f>'P &amp; L'!G5</f>
        <v>235666</v>
      </c>
      <c r="H31" s="82">
        <f>'P &amp; L'!H5</f>
        <v>240069</v>
      </c>
      <c r="I31" s="82">
        <f>'P &amp; L'!I5</f>
        <v>233229</v>
      </c>
      <c r="J31" s="82">
        <f>'P &amp; L'!J5</f>
        <v>264511</v>
      </c>
      <c r="K31" s="83">
        <f>'P &amp; L'!K5</f>
        <v>204225</v>
      </c>
      <c r="L31" s="83">
        <f>'P &amp; L'!L5</f>
        <v>225504</v>
      </c>
      <c r="M31" s="83">
        <f>'P &amp; L'!M5</f>
        <v>217475</v>
      </c>
      <c r="N31" s="83">
        <f>'P &amp; L'!N5</f>
        <v>241443</v>
      </c>
      <c r="O31" s="269">
        <f>'P &amp; L'!O5</f>
        <v>223259</v>
      </c>
      <c r="P31" s="269">
        <f>'P &amp; L'!P5</f>
        <v>0</v>
      </c>
      <c r="Q31" s="269">
        <f>'P &amp; L'!Q5</f>
        <v>0</v>
      </c>
      <c r="R31" s="269">
        <f>'P &amp; L'!R5</f>
        <v>0</v>
      </c>
    </row>
    <row r="32" spans="2:43">
      <c r="B32" s="92"/>
      <c r="C32" s="69"/>
      <c r="D32" s="182"/>
      <c r="E32" s="156"/>
      <c r="F32" s="182"/>
      <c r="G32" s="93"/>
      <c r="H32" s="183"/>
      <c r="I32" s="93"/>
      <c r="J32" s="183"/>
      <c r="K32" s="94"/>
      <c r="L32" s="177"/>
      <c r="M32" s="94"/>
      <c r="N32" s="177"/>
      <c r="O32" s="271"/>
      <c r="P32" s="287"/>
      <c r="Q32" s="271"/>
      <c r="R32" s="287"/>
    </row>
    <row r="33" spans="2:19">
      <c r="B33" s="53" t="s">
        <v>10</v>
      </c>
      <c r="C33" s="73">
        <f>'P &amp; L'!C7</f>
        <v>61453</v>
      </c>
      <c r="D33" s="73">
        <f>'P &amp; L'!D7</f>
        <v>68415</v>
      </c>
      <c r="E33" s="158">
        <f>'P &amp; L'!E7</f>
        <v>50378</v>
      </c>
      <c r="F33" s="73">
        <f>'P &amp; L'!F7</f>
        <v>101243</v>
      </c>
      <c r="G33" s="117">
        <f>'P &amp; L'!G7</f>
        <v>74794</v>
      </c>
      <c r="H33" s="74">
        <f>'P &amp; L'!H7</f>
        <v>80170</v>
      </c>
      <c r="I33" s="117">
        <f>'P &amp; L'!I7</f>
        <v>58026</v>
      </c>
      <c r="J33" s="74">
        <f>'P &amp; L'!J7</f>
        <v>65503</v>
      </c>
      <c r="K33" s="119">
        <f>'P &amp; L'!K7</f>
        <v>44243</v>
      </c>
      <c r="L33" s="75">
        <f>'P &amp; L'!L7</f>
        <v>60080</v>
      </c>
      <c r="M33" s="119">
        <f>'P &amp; L'!M7</f>
        <v>58670</v>
      </c>
      <c r="N33" s="75">
        <f>'P &amp; L'!N7</f>
        <v>64198</v>
      </c>
      <c r="O33" s="280">
        <f>'P &amp; L'!O7</f>
        <v>73124</v>
      </c>
      <c r="P33" s="268">
        <f>'P &amp; L'!P7</f>
        <v>0</v>
      </c>
      <c r="Q33" s="280">
        <f>'P &amp; L'!Q7</f>
        <v>0</v>
      </c>
      <c r="R33" s="268">
        <f>'P &amp; L'!R7</f>
        <v>0</v>
      </c>
    </row>
    <row r="34" spans="2:19">
      <c r="B34" s="53" t="s">
        <v>11</v>
      </c>
      <c r="C34" s="73">
        <f>'P &amp; L'!C8</f>
        <v>29761</v>
      </c>
      <c r="D34" s="73">
        <f>'P &amp; L'!D8</f>
        <v>29910</v>
      </c>
      <c r="E34" s="158">
        <f>'P &amp; L'!E8</f>
        <v>35928</v>
      </c>
      <c r="F34" s="73">
        <f>'P &amp; L'!F8</f>
        <v>25167</v>
      </c>
      <c r="G34" s="117">
        <f>'P &amp; L'!G8</f>
        <v>22299</v>
      </c>
      <c r="H34" s="74">
        <f>'P &amp; L'!H8</f>
        <v>24314</v>
      </c>
      <c r="I34" s="117">
        <f>'P &amp; L'!I8</f>
        <v>27544</v>
      </c>
      <c r="J34" s="74">
        <f>'P &amp; L'!J8</f>
        <v>29777</v>
      </c>
      <c r="K34" s="119">
        <f>'P &amp; L'!K8</f>
        <v>22878</v>
      </c>
      <c r="L34" s="75">
        <f>'P &amp; L'!L8</f>
        <v>20743</v>
      </c>
      <c r="M34" s="119">
        <f>'P &amp; L'!M8</f>
        <v>22536</v>
      </c>
      <c r="N34" s="75">
        <f>'P &amp; L'!N8</f>
        <v>26103</v>
      </c>
      <c r="O34" s="280">
        <f>'P &amp; L'!O8</f>
        <v>23857</v>
      </c>
      <c r="P34" s="268">
        <f>'P &amp; L'!P8</f>
        <v>0</v>
      </c>
      <c r="Q34" s="280">
        <f>'P &amp; L'!Q8</f>
        <v>0</v>
      </c>
      <c r="R34" s="268">
        <f>'P &amp; L'!R8</f>
        <v>0</v>
      </c>
    </row>
    <row r="35" spans="2:19">
      <c r="B35" s="136" t="s">
        <v>12</v>
      </c>
      <c r="C35" s="81">
        <f t="shared" ref="C35:M35" si="77">C31-C33-C34</f>
        <v>119072</v>
      </c>
      <c r="D35" s="81">
        <f t="shared" si="77"/>
        <v>129650</v>
      </c>
      <c r="E35" s="184">
        <f t="shared" si="77"/>
        <v>111187</v>
      </c>
      <c r="F35" s="81">
        <f t="shared" si="77"/>
        <v>115001</v>
      </c>
      <c r="G35" s="185">
        <f t="shared" si="77"/>
        <v>138573</v>
      </c>
      <c r="H35" s="82">
        <f t="shared" si="77"/>
        <v>135585</v>
      </c>
      <c r="I35" s="185">
        <f t="shared" si="77"/>
        <v>147659</v>
      </c>
      <c r="J35" s="82">
        <f t="shared" si="77"/>
        <v>169231</v>
      </c>
      <c r="K35" s="186">
        <f t="shared" si="77"/>
        <v>137104</v>
      </c>
      <c r="L35" s="83">
        <f t="shared" si="77"/>
        <v>144681</v>
      </c>
      <c r="M35" s="186">
        <f t="shared" si="77"/>
        <v>136269</v>
      </c>
      <c r="N35" s="83">
        <f>N31-N33-N34</f>
        <v>151142</v>
      </c>
      <c r="O35" s="312">
        <f t="shared" ref="O35:Q35" si="78">O31-O33-O34</f>
        <v>126278</v>
      </c>
      <c r="P35" s="269">
        <f t="shared" si="78"/>
        <v>0</v>
      </c>
      <c r="Q35" s="312">
        <f t="shared" si="78"/>
        <v>0</v>
      </c>
      <c r="R35" s="269">
        <f>R31-R33-R34</f>
        <v>0</v>
      </c>
    </row>
    <row r="36" spans="2:19">
      <c r="B36" s="53" t="s">
        <v>13</v>
      </c>
      <c r="C36" s="48">
        <f t="shared" ref="C36:N36" si="79">C35/C31</f>
        <v>0.56623836108918335</v>
      </c>
      <c r="D36" s="48">
        <f t="shared" si="79"/>
        <v>0.56870270863033223</v>
      </c>
      <c r="E36" s="102">
        <f t="shared" si="79"/>
        <v>0.56299210604932837</v>
      </c>
      <c r="F36" s="48">
        <f t="shared" si="79"/>
        <v>0.47637017368719736</v>
      </c>
      <c r="G36" s="49">
        <f t="shared" si="79"/>
        <v>0.58800590666451669</v>
      </c>
      <c r="H36" s="50">
        <f t="shared" si="79"/>
        <v>0.56477512715094413</v>
      </c>
      <c r="I36" s="49">
        <f t="shared" si="79"/>
        <v>0.63310737515489068</v>
      </c>
      <c r="J36" s="50">
        <f t="shared" si="79"/>
        <v>0.63978813735534623</v>
      </c>
      <c r="K36" s="51">
        <f t="shared" si="79"/>
        <v>0.67133798506549147</v>
      </c>
      <c r="L36" s="52">
        <f t="shared" si="79"/>
        <v>0.6415895061728395</v>
      </c>
      <c r="M36" s="51">
        <f t="shared" si="79"/>
        <v>0.62659616047821587</v>
      </c>
      <c r="N36" s="52">
        <f t="shared" si="79"/>
        <v>0.62599454115464104</v>
      </c>
      <c r="O36" s="313">
        <f t="shared" ref="O36:R36" si="80">O35/O31</f>
        <v>0.56561213657680098</v>
      </c>
      <c r="P36" s="301" t="e">
        <f t="shared" si="80"/>
        <v>#DIV/0!</v>
      </c>
      <c r="Q36" s="313" t="e">
        <f t="shared" si="80"/>
        <v>#DIV/0!</v>
      </c>
      <c r="R36" s="301" t="e">
        <f t="shared" si="80"/>
        <v>#DIV/0!</v>
      </c>
    </row>
    <row r="37" spans="2:19">
      <c r="B37" s="225"/>
      <c r="C37" s="97"/>
      <c r="D37" s="97"/>
      <c r="E37" s="145"/>
      <c r="F37" s="97"/>
      <c r="G37" s="98"/>
      <c r="H37" s="99"/>
      <c r="I37" s="98"/>
      <c r="J37" s="99"/>
      <c r="K37" s="100"/>
      <c r="L37" s="101"/>
      <c r="M37" s="100"/>
      <c r="N37" s="101"/>
      <c r="O37" s="314"/>
      <c r="P37" s="315"/>
      <c r="Q37" s="314"/>
      <c r="R37" s="315"/>
    </row>
    <row r="38" spans="2:19">
      <c r="B38" s="53" t="s">
        <v>14</v>
      </c>
      <c r="C38" s="73">
        <f>SUM('P &amp; L'!C9:C10)</f>
        <v>114504</v>
      </c>
      <c r="D38" s="73">
        <f>SUM('P &amp; L'!D9:D10)</f>
        <v>120369</v>
      </c>
      <c r="E38" s="158">
        <f>SUM('P &amp; L'!E9:E10)</f>
        <v>136385</v>
      </c>
      <c r="F38" s="73">
        <f>SUM('P &amp; L'!F9:F10)</f>
        <v>107998</v>
      </c>
      <c r="G38" s="117">
        <f>SUM('P &amp; L'!G9:G10)</f>
        <v>122352</v>
      </c>
      <c r="H38" s="74">
        <f>SUM('P &amp; L'!H9:H10)</f>
        <v>114179</v>
      </c>
      <c r="I38" s="117">
        <f>SUM('P &amp; L'!I9:I10)</f>
        <v>142304</v>
      </c>
      <c r="J38" s="74">
        <f>SUM('P &amp; L'!J9:J10)</f>
        <v>129622</v>
      </c>
      <c r="K38" s="119">
        <f>SUM('P &amp; L'!K9:K10)</f>
        <v>120998</v>
      </c>
      <c r="L38" s="75">
        <f>SUM('P &amp; L'!L9:L10)</f>
        <v>114123</v>
      </c>
      <c r="M38" s="119">
        <f>SUM('P &amp; L'!M9:M10)</f>
        <v>120477</v>
      </c>
      <c r="N38" s="75">
        <f>SUM('P &amp; L'!N9:N10)</f>
        <v>142507</v>
      </c>
      <c r="O38" s="280">
        <f>SUM('P &amp; L'!O9:O10)</f>
        <v>117772</v>
      </c>
      <c r="P38" s="268">
        <f>SUM('P &amp; L'!P9:P10)</f>
        <v>0</v>
      </c>
      <c r="Q38" s="280">
        <f>SUM('P &amp; L'!Q9:Q10)</f>
        <v>0</v>
      </c>
      <c r="R38" s="268">
        <f>SUM('P &amp; L'!R9:R10)</f>
        <v>0</v>
      </c>
      <c r="S38" s="18"/>
    </row>
    <row r="39" spans="2:19">
      <c r="B39" s="225"/>
      <c r="C39" s="69"/>
      <c r="D39" s="69"/>
      <c r="E39" s="156"/>
      <c r="F39" s="69"/>
      <c r="G39" s="93"/>
      <c r="H39" s="70"/>
      <c r="I39" s="93"/>
      <c r="J39" s="70"/>
      <c r="K39" s="94"/>
      <c r="L39" s="71"/>
      <c r="M39" s="94"/>
      <c r="N39" s="71"/>
      <c r="O39" s="271"/>
      <c r="P39" s="267"/>
      <c r="Q39" s="271"/>
      <c r="R39" s="267"/>
    </row>
    <row r="40" spans="2:19">
      <c r="B40" s="138" t="s">
        <v>15</v>
      </c>
      <c r="C40" s="81">
        <f t="shared" ref="C40:N40" si="81">C35-C38</f>
        <v>4568</v>
      </c>
      <c r="D40" s="81">
        <f t="shared" si="81"/>
        <v>9281</v>
      </c>
      <c r="E40" s="184">
        <f t="shared" si="81"/>
        <v>-25198</v>
      </c>
      <c r="F40" s="81">
        <f t="shared" si="81"/>
        <v>7003</v>
      </c>
      <c r="G40" s="185">
        <f t="shared" si="81"/>
        <v>16221</v>
      </c>
      <c r="H40" s="82">
        <f t="shared" si="81"/>
        <v>21406</v>
      </c>
      <c r="I40" s="185">
        <f t="shared" si="81"/>
        <v>5355</v>
      </c>
      <c r="J40" s="82">
        <f t="shared" si="81"/>
        <v>39609</v>
      </c>
      <c r="K40" s="186">
        <f t="shared" si="81"/>
        <v>16106</v>
      </c>
      <c r="L40" s="83">
        <f t="shared" si="81"/>
        <v>30558</v>
      </c>
      <c r="M40" s="186">
        <f t="shared" si="81"/>
        <v>15792</v>
      </c>
      <c r="N40" s="83">
        <f t="shared" si="81"/>
        <v>8635</v>
      </c>
      <c r="O40" s="312">
        <f t="shared" ref="O40:R40" si="82">O35-O38</f>
        <v>8506</v>
      </c>
      <c r="P40" s="269">
        <f t="shared" si="82"/>
        <v>0</v>
      </c>
      <c r="Q40" s="312">
        <f t="shared" si="82"/>
        <v>0</v>
      </c>
      <c r="R40" s="269">
        <f t="shared" si="82"/>
        <v>0</v>
      </c>
    </row>
    <row r="41" spans="2:19">
      <c r="B41" s="53" t="s">
        <v>16</v>
      </c>
      <c r="C41" s="48">
        <f t="shared" ref="C41:N41" si="83">C40/C31</f>
        <v>2.1722796572287265E-2</v>
      </c>
      <c r="D41" s="48">
        <f t="shared" si="83"/>
        <v>4.0710604232920278E-2</v>
      </c>
      <c r="E41" s="102">
        <f t="shared" si="83"/>
        <v>-0.12758933228013145</v>
      </c>
      <c r="F41" s="48">
        <f t="shared" si="83"/>
        <v>2.9008620154011209E-2</v>
      </c>
      <c r="G41" s="49">
        <f t="shared" si="83"/>
        <v>6.8830463452513299E-2</v>
      </c>
      <c r="H41" s="50">
        <f t="shared" si="83"/>
        <v>8.9166031432629786E-2</v>
      </c>
      <c r="I41" s="49">
        <f t="shared" si="83"/>
        <v>2.2960266519172143E-2</v>
      </c>
      <c r="J41" s="50">
        <f t="shared" si="83"/>
        <v>0.14974424504084896</v>
      </c>
      <c r="K41" s="51">
        <f t="shared" si="83"/>
        <v>7.8863998041375935E-2</v>
      </c>
      <c r="L41" s="52">
        <f t="shared" si="83"/>
        <v>0.13550979140059599</v>
      </c>
      <c r="M41" s="51">
        <f t="shared" si="83"/>
        <v>7.2615243131394419E-2</v>
      </c>
      <c r="N41" s="52">
        <f t="shared" si="83"/>
        <v>3.5764134806144723E-2</v>
      </c>
      <c r="O41" s="313">
        <f t="shared" ref="O41:R41" si="84">O40/O31</f>
        <v>3.8099247958648927E-2</v>
      </c>
      <c r="P41" s="301" t="e">
        <f t="shared" si="84"/>
        <v>#DIV/0!</v>
      </c>
      <c r="Q41" s="313" t="e">
        <f t="shared" si="84"/>
        <v>#DIV/0!</v>
      </c>
      <c r="R41" s="301" t="e">
        <f t="shared" si="84"/>
        <v>#DIV/0!</v>
      </c>
    </row>
    <row r="42" spans="2:19">
      <c r="B42" s="226"/>
      <c r="C42" s="32"/>
      <c r="D42" s="32"/>
      <c r="E42" s="146"/>
      <c r="F42" s="32"/>
      <c r="G42" s="33"/>
      <c r="H42" s="34"/>
      <c r="I42" s="33"/>
      <c r="J42" s="34"/>
      <c r="K42" s="35"/>
      <c r="L42" s="36"/>
      <c r="M42" s="35"/>
      <c r="N42" s="36"/>
      <c r="O42" s="316"/>
      <c r="P42" s="317"/>
      <c r="Q42" s="316"/>
      <c r="R42" s="317"/>
    </row>
    <row r="43" spans="2:19">
      <c r="B43" s="53" t="s">
        <v>108</v>
      </c>
      <c r="C43" s="120">
        <f>'P &amp; L'!C15</f>
        <v>13672</v>
      </c>
      <c r="D43" s="120">
        <f>'P &amp; L'!D15</f>
        <v>13269</v>
      </c>
      <c r="E43" s="159">
        <f>'P &amp; L'!E15</f>
        <v>13242</v>
      </c>
      <c r="F43" s="120">
        <f>'P &amp; L'!F15</f>
        <v>14578</v>
      </c>
      <c r="G43" s="121">
        <f>'P &amp; L'!G15</f>
        <v>14389</v>
      </c>
      <c r="H43" s="122">
        <f>'P &amp; L'!H15</f>
        <v>14514</v>
      </c>
      <c r="I43" s="121">
        <f>'P &amp; L'!I15</f>
        <v>13916</v>
      </c>
      <c r="J43" s="122">
        <f>'P &amp; L'!J15</f>
        <v>13669</v>
      </c>
      <c r="K43" s="118">
        <f>'P &amp; L'!K15</f>
        <v>12410</v>
      </c>
      <c r="L43" s="178">
        <f>'P &amp; L'!L15</f>
        <v>11775</v>
      </c>
      <c r="M43" s="118">
        <f>'P &amp; L'!M15</f>
        <v>10952</v>
      </c>
      <c r="N43" s="187">
        <f>'P &amp; L'!N15</f>
        <v>11986</v>
      </c>
      <c r="O43" s="279">
        <f>'P &amp; L'!O15</f>
        <v>19161</v>
      </c>
      <c r="P43" s="288">
        <f>'P &amp; L'!P15</f>
        <v>0</v>
      </c>
      <c r="Q43" s="279">
        <f>'P &amp; L'!Q15</f>
        <v>0</v>
      </c>
      <c r="R43" s="290">
        <f>'P &amp; L'!R15</f>
        <v>0</v>
      </c>
    </row>
    <row r="44" spans="2:19">
      <c r="B44" s="53" t="s">
        <v>19</v>
      </c>
      <c r="C44" s="120">
        <f>'P &amp; L'!C16</f>
        <v>0</v>
      </c>
      <c r="D44" s="120">
        <f>'P &amp; L'!D16</f>
        <v>0</v>
      </c>
      <c r="E44" s="120">
        <f>'P &amp; L'!E16</f>
        <v>0</v>
      </c>
      <c r="F44" s="120">
        <f>'P &amp; L'!F16</f>
        <v>0</v>
      </c>
      <c r="G44" s="121">
        <f>'P &amp; L'!G16</f>
        <v>0</v>
      </c>
      <c r="H44" s="122">
        <f>'P &amp; L'!H16</f>
        <v>0</v>
      </c>
      <c r="I44" s="122">
        <f>'P &amp; L'!I16</f>
        <v>0</v>
      </c>
      <c r="J44" s="122">
        <f>'P &amp; L'!J16</f>
        <v>21876</v>
      </c>
      <c r="K44" s="118">
        <f>'P &amp; L'!K16</f>
        <v>0</v>
      </c>
      <c r="L44" s="178">
        <f>'P &amp; L'!L16</f>
        <v>278</v>
      </c>
      <c r="M44" s="118">
        <f>'P &amp; L'!M16</f>
        <v>0</v>
      </c>
      <c r="N44" s="187">
        <f>'P &amp; L'!N16</f>
        <v>0</v>
      </c>
      <c r="O44" s="279">
        <f>'P &amp; L'!O16</f>
        <v>0</v>
      </c>
      <c r="P44" s="288">
        <f>'P &amp; L'!P16</f>
        <v>0</v>
      </c>
      <c r="Q44" s="279">
        <f>'P &amp; L'!Q16</f>
        <v>0</v>
      </c>
      <c r="R44" s="290">
        <f>'P &amp; L'!R16</f>
        <v>0</v>
      </c>
    </row>
    <row r="45" spans="2:19">
      <c r="B45" s="96"/>
      <c r="C45" s="120"/>
      <c r="D45" s="120"/>
      <c r="E45" s="159"/>
      <c r="F45" s="120"/>
      <c r="G45" s="121"/>
      <c r="H45" s="122"/>
      <c r="I45" s="121"/>
      <c r="J45" s="122"/>
      <c r="K45" s="118"/>
      <c r="L45" s="178"/>
      <c r="M45" s="118"/>
      <c r="N45" s="187"/>
      <c r="O45" s="279"/>
      <c r="P45" s="288"/>
      <c r="Q45" s="279"/>
      <c r="R45" s="290"/>
    </row>
    <row r="46" spans="2:19" s="341" customFormat="1">
      <c r="B46" s="138" t="s">
        <v>20</v>
      </c>
      <c r="C46" s="331">
        <f>C40-C43-C44</f>
        <v>-9104</v>
      </c>
      <c r="D46" s="331">
        <f t="shared" ref="D46:N46" si="85">D40-D43-D44</f>
        <v>-3988</v>
      </c>
      <c r="E46" s="332">
        <f t="shared" si="85"/>
        <v>-38440</v>
      </c>
      <c r="F46" s="331">
        <f t="shared" si="85"/>
        <v>-7575</v>
      </c>
      <c r="G46" s="333">
        <f t="shared" si="85"/>
        <v>1832</v>
      </c>
      <c r="H46" s="334">
        <f t="shared" si="85"/>
        <v>6892</v>
      </c>
      <c r="I46" s="333">
        <f t="shared" si="85"/>
        <v>-8561</v>
      </c>
      <c r="J46" s="334">
        <f t="shared" si="85"/>
        <v>4064</v>
      </c>
      <c r="K46" s="335">
        <f t="shared" si="85"/>
        <v>3696</v>
      </c>
      <c r="L46" s="336">
        <f t="shared" si="85"/>
        <v>18505</v>
      </c>
      <c r="M46" s="335">
        <f t="shared" si="85"/>
        <v>4840</v>
      </c>
      <c r="N46" s="337">
        <f t="shared" si="85"/>
        <v>-3351</v>
      </c>
      <c r="O46" s="338">
        <f t="shared" ref="O46:R46" si="86">O40-O43-O44</f>
        <v>-10655</v>
      </c>
      <c r="P46" s="339">
        <f t="shared" si="86"/>
        <v>0</v>
      </c>
      <c r="Q46" s="338">
        <f t="shared" si="86"/>
        <v>0</v>
      </c>
      <c r="R46" s="340">
        <f t="shared" si="86"/>
        <v>0</v>
      </c>
    </row>
    <row r="47" spans="2:19">
      <c r="B47" s="229"/>
      <c r="C47" s="230"/>
      <c r="D47" s="230"/>
      <c r="E47" s="230"/>
      <c r="F47" s="230"/>
      <c r="G47" s="230"/>
      <c r="H47" s="230"/>
      <c r="I47" s="230"/>
      <c r="J47" s="230"/>
      <c r="K47" s="230"/>
      <c r="L47" s="230"/>
      <c r="M47" s="230"/>
      <c r="N47" s="230"/>
      <c r="O47" s="230"/>
      <c r="P47" s="230"/>
      <c r="Q47" s="230"/>
      <c r="R47" s="230"/>
      <c r="S47" s="214"/>
    </row>
    <row r="48" spans="2:19" ht="15.5">
      <c r="B48" s="231"/>
      <c r="C48" s="232"/>
      <c r="D48" s="232"/>
      <c r="E48" s="232"/>
      <c r="F48" s="232"/>
      <c r="G48" s="232"/>
      <c r="H48" s="232"/>
      <c r="I48" s="232"/>
      <c r="J48" s="232"/>
      <c r="K48" s="232"/>
      <c r="L48" s="232"/>
      <c r="M48" s="232"/>
      <c r="N48" s="232"/>
      <c r="O48" s="232"/>
      <c r="P48" s="232"/>
      <c r="Q48" s="232"/>
      <c r="R48" s="232"/>
      <c r="S48" s="214"/>
    </row>
    <row r="49" spans="2:26" ht="15" thickBot="1">
      <c r="S49" s="214"/>
    </row>
    <row r="50" spans="2:26" ht="16" thickBot="1">
      <c r="B50" s="228" t="s">
        <v>106</v>
      </c>
      <c r="C50" s="355">
        <v>2016</v>
      </c>
      <c r="D50" s="355"/>
      <c r="E50" s="355"/>
      <c r="F50" s="356"/>
      <c r="G50" s="357">
        <v>2017</v>
      </c>
      <c r="H50" s="358"/>
      <c r="I50" s="358"/>
      <c r="J50" s="359"/>
      <c r="K50" s="360">
        <v>2018</v>
      </c>
      <c r="L50" s="361"/>
      <c r="M50" s="361"/>
      <c r="N50" s="362"/>
      <c r="O50" s="365">
        <v>2018</v>
      </c>
      <c r="P50" s="366"/>
      <c r="Q50" s="366"/>
      <c r="R50" s="367"/>
      <c r="S50" s="214"/>
    </row>
    <row r="51" spans="2:26">
      <c r="B51" s="76" t="s">
        <v>1</v>
      </c>
      <c r="C51" s="227" t="s">
        <v>2</v>
      </c>
      <c r="D51" s="219" t="s">
        <v>3</v>
      </c>
      <c r="E51" s="219" t="s">
        <v>4</v>
      </c>
      <c r="F51" s="220" t="s">
        <v>5</v>
      </c>
      <c r="G51" s="221" t="s">
        <v>2</v>
      </c>
      <c r="H51" s="221" t="s">
        <v>3</v>
      </c>
      <c r="I51" s="221" t="s">
        <v>4</v>
      </c>
      <c r="J51" s="222" t="s">
        <v>5</v>
      </c>
      <c r="K51" s="223" t="s">
        <v>2</v>
      </c>
      <c r="L51" s="223" t="s">
        <v>3</v>
      </c>
      <c r="M51" s="223" t="s">
        <v>4</v>
      </c>
      <c r="N51" s="224" t="s">
        <v>5</v>
      </c>
      <c r="O51" s="319" t="s">
        <v>2</v>
      </c>
      <c r="P51" s="319" t="s">
        <v>3</v>
      </c>
      <c r="Q51" s="319" t="s">
        <v>4</v>
      </c>
      <c r="R51" s="320" t="s">
        <v>5</v>
      </c>
    </row>
    <row r="52" spans="2:26">
      <c r="B52" s="138" t="s">
        <v>9</v>
      </c>
      <c r="C52" s="233">
        <f>C8-C31</f>
        <v>0</v>
      </c>
      <c r="D52" s="233">
        <f t="shared" ref="D52:N52" si="87">D8-D31</f>
        <v>0</v>
      </c>
      <c r="E52" s="233">
        <f t="shared" si="87"/>
        <v>0</v>
      </c>
      <c r="F52" s="233">
        <f t="shared" si="87"/>
        <v>0</v>
      </c>
      <c r="G52" s="234">
        <f t="shared" si="87"/>
        <v>0</v>
      </c>
      <c r="H52" s="234">
        <f t="shared" si="87"/>
        <v>0</v>
      </c>
      <c r="I52" s="234">
        <f t="shared" si="87"/>
        <v>0</v>
      </c>
      <c r="J52" s="234">
        <f t="shared" si="87"/>
        <v>0</v>
      </c>
      <c r="K52" s="235">
        <f t="shared" si="87"/>
        <v>0</v>
      </c>
      <c r="L52" s="235">
        <f t="shared" si="87"/>
        <v>0</v>
      </c>
      <c r="M52" s="235">
        <f t="shared" si="87"/>
        <v>0</v>
      </c>
      <c r="N52" s="235">
        <f t="shared" si="87"/>
        <v>0</v>
      </c>
      <c r="O52" s="321">
        <f t="shared" ref="O52:R52" si="88">O8-O31</f>
        <v>0</v>
      </c>
      <c r="P52" s="321">
        <f t="shared" si="88"/>
        <v>0</v>
      </c>
      <c r="Q52" s="321">
        <f t="shared" si="88"/>
        <v>0</v>
      </c>
      <c r="R52" s="321">
        <f t="shared" si="88"/>
        <v>0</v>
      </c>
    </row>
    <row r="53" spans="2:26">
      <c r="B53" s="92"/>
      <c r="C53" s="236"/>
      <c r="D53" s="237"/>
      <c r="E53" s="238"/>
      <c r="F53" s="237"/>
      <c r="G53" s="239"/>
      <c r="H53" s="240"/>
      <c r="I53" s="239"/>
      <c r="J53" s="240"/>
      <c r="K53" s="241"/>
      <c r="L53" s="242"/>
      <c r="M53" s="241"/>
      <c r="N53" s="242"/>
      <c r="O53" s="322"/>
      <c r="P53" s="323"/>
      <c r="Q53" s="322"/>
      <c r="R53" s="323"/>
    </row>
    <row r="54" spans="2:26">
      <c r="B54" s="53" t="s">
        <v>10</v>
      </c>
      <c r="C54" s="243">
        <f t="shared" ref="C54:N54" si="89">C10-C33</f>
        <v>0</v>
      </c>
      <c r="D54" s="243">
        <f t="shared" si="89"/>
        <v>0</v>
      </c>
      <c r="E54" s="244">
        <f t="shared" si="89"/>
        <v>0</v>
      </c>
      <c r="F54" s="243">
        <f t="shared" si="89"/>
        <v>0</v>
      </c>
      <c r="G54" s="245">
        <f t="shared" si="89"/>
        <v>0</v>
      </c>
      <c r="H54" s="246">
        <f t="shared" si="89"/>
        <v>0</v>
      </c>
      <c r="I54" s="245">
        <f t="shared" si="89"/>
        <v>0</v>
      </c>
      <c r="J54" s="246">
        <f t="shared" si="89"/>
        <v>0</v>
      </c>
      <c r="K54" s="247">
        <f t="shared" si="89"/>
        <v>0</v>
      </c>
      <c r="L54" s="248">
        <f t="shared" si="89"/>
        <v>0</v>
      </c>
      <c r="M54" s="247">
        <f t="shared" si="89"/>
        <v>0</v>
      </c>
      <c r="N54" s="248">
        <f t="shared" si="89"/>
        <v>0</v>
      </c>
      <c r="O54" s="324">
        <f t="shared" ref="O54:R54" si="90">O10-O33</f>
        <v>0</v>
      </c>
      <c r="P54" s="325">
        <f t="shared" si="90"/>
        <v>0</v>
      </c>
      <c r="Q54" s="324">
        <f t="shared" si="90"/>
        <v>0</v>
      </c>
      <c r="R54" s="325">
        <f t="shared" si="90"/>
        <v>0</v>
      </c>
    </row>
    <row r="55" spans="2:26">
      <c r="B55" s="53" t="s">
        <v>11</v>
      </c>
      <c r="C55" s="243">
        <f t="shared" ref="C55:N55" si="91">C11-C34</f>
        <v>0</v>
      </c>
      <c r="D55" s="243">
        <f t="shared" si="91"/>
        <v>0</v>
      </c>
      <c r="E55" s="244">
        <f t="shared" si="91"/>
        <v>0</v>
      </c>
      <c r="F55" s="243">
        <f t="shared" si="91"/>
        <v>0</v>
      </c>
      <c r="G55" s="245">
        <f t="shared" si="91"/>
        <v>0</v>
      </c>
      <c r="H55" s="246">
        <f t="shared" si="91"/>
        <v>0</v>
      </c>
      <c r="I55" s="245">
        <f t="shared" si="91"/>
        <v>0</v>
      </c>
      <c r="J55" s="246">
        <f t="shared" si="91"/>
        <v>0</v>
      </c>
      <c r="K55" s="247">
        <f t="shared" si="91"/>
        <v>0</v>
      </c>
      <c r="L55" s="248">
        <f t="shared" si="91"/>
        <v>0</v>
      </c>
      <c r="M55" s="247">
        <f t="shared" si="91"/>
        <v>0</v>
      </c>
      <c r="N55" s="248">
        <f t="shared" si="91"/>
        <v>0</v>
      </c>
      <c r="O55" s="324">
        <f t="shared" ref="O55:R55" si="92">O11-O34</f>
        <v>0</v>
      </c>
      <c r="P55" s="325">
        <f t="shared" si="92"/>
        <v>0</v>
      </c>
      <c r="Q55" s="324">
        <f t="shared" si="92"/>
        <v>0</v>
      </c>
      <c r="R55" s="325">
        <f t="shared" si="92"/>
        <v>0</v>
      </c>
    </row>
    <row r="56" spans="2:26">
      <c r="B56" s="136" t="s">
        <v>12</v>
      </c>
      <c r="C56" s="233">
        <f t="shared" ref="C56:N56" si="93">C12-C35</f>
        <v>0</v>
      </c>
      <c r="D56" s="233">
        <f t="shared" si="93"/>
        <v>0</v>
      </c>
      <c r="E56" s="249">
        <f t="shared" si="93"/>
        <v>0</v>
      </c>
      <c r="F56" s="233">
        <f t="shared" si="93"/>
        <v>0</v>
      </c>
      <c r="G56" s="250">
        <f t="shared" si="93"/>
        <v>0</v>
      </c>
      <c r="H56" s="234">
        <f t="shared" si="93"/>
        <v>0</v>
      </c>
      <c r="I56" s="250">
        <f t="shared" si="93"/>
        <v>0</v>
      </c>
      <c r="J56" s="234">
        <f t="shared" si="93"/>
        <v>0</v>
      </c>
      <c r="K56" s="251">
        <f t="shared" si="93"/>
        <v>0</v>
      </c>
      <c r="L56" s="235">
        <f t="shared" si="93"/>
        <v>0</v>
      </c>
      <c r="M56" s="251">
        <f t="shared" si="93"/>
        <v>0</v>
      </c>
      <c r="N56" s="235">
        <f t="shared" si="93"/>
        <v>0</v>
      </c>
      <c r="O56" s="326">
        <f t="shared" ref="O56:R56" si="94">O12-O35</f>
        <v>0</v>
      </c>
      <c r="P56" s="321">
        <f t="shared" si="94"/>
        <v>0</v>
      </c>
      <c r="Q56" s="326">
        <f t="shared" si="94"/>
        <v>0</v>
      </c>
      <c r="R56" s="321">
        <f t="shared" si="94"/>
        <v>0</v>
      </c>
    </row>
    <row r="57" spans="2:26">
      <c r="B57" s="53" t="s">
        <v>13</v>
      </c>
      <c r="C57" s="48" t="e">
        <f t="shared" ref="C57:N57" si="95">C56/C52</f>
        <v>#DIV/0!</v>
      </c>
      <c r="D57" s="48" t="e">
        <f t="shared" si="95"/>
        <v>#DIV/0!</v>
      </c>
      <c r="E57" s="102" t="e">
        <f t="shared" si="95"/>
        <v>#DIV/0!</v>
      </c>
      <c r="F57" s="48" t="e">
        <f t="shared" si="95"/>
        <v>#DIV/0!</v>
      </c>
      <c r="G57" s="49" t="e">
        <f t="shared" si="95"/>
        <v>#DIV/0!</v>
      </c>
      <c r="H57" s="50" t="e">
        <f t="shared" si="95"/>
        <v>#DIV/0!</v>
      </c>
      <c r="I57" s="49" t="e">
        <f t="shared" si="95"/>
        <v>#DIV/0!</v>
      </c>
      <c r="J57" s="50" t="e">
        <f t="shared" si="95"/>
        <v>#DIV/0!</v>
      </c>
      <c r="K57" s="51" t="e">
        <f t="shared" si="95"/>
        <v>#DIV/0!</v>
      </c>
      <c r="L57" s="52" t="e">
        <f t="shared" si="95"/>
        <v>#DIV/0!</v>
      </c>
      <c r="M57" s="51" t="e">
        <f t="shared" si="95"/>
        <v>#DIV/0!</v>
      </c>
      <c r="N57" s="52" t="e">
        <f t="shared" si="95"/>
        <v>#DIV/0!</v>
      </c>
      <c r="O57" s="313" t="e">
        <f t="shared" ref="O57:R57" si="96">O56/O52</f>
        <v>#DIV/0!</v>
      </c>
      <c r="P57" s="301" t="e">
        <f t="shared" si="96"/>
        <v>#DIV/0!</v>
      </c>
      <c r="Q57" s="313" t="e">
        <f t="shared" si="96"/>
        <v>#DIV/0!</v>
      </c>
      <c r="R57" s="301" t="e">
        <f t="shared" si="96"/>
        <v>#DIV/0!</v>
      </c>
    </row>
    <row r="58" spans="2:26">
      <c r="B58" s="225"/>
      <c r="C58" s="97"/>
      <c r="D58" s="97"/>
      <c r="E58" s="145"/>
      <c r="F58" s="97"/>
      <c r="G58" s="98"/>
      <c r="H58" s="99"/>
      <c r="I58" s="98"/>
      <c r="J58" s="99"/>
      <c r="K58" s="100"/>
      <c r="L58" s="101"/>
      <c r="M58" s="100"/>
      <c r="N58" s="101"/>
      <c r="O58" s="314"/>
      <c r="P58" s="315"/>
      <c r="Q58" s="314"/>
      <c r="R58" s="315"/>
    </row>
    <row r="59" spans="2:26">
      <c r="B59" s="53" t="s">
        <v>14</v>
      </c>
      <c r="C59" s="243">
        <f>C15-C38</f>
        <v>-0.21184939998784102</v>
      </c>
      <c r="D59" s="243">
        <f t="shared" ref="D59:N59" si="97">D15-D38</f>
        <v>0.15167030002339743</v>
      </c>
      <c r="E59" s="244">
        <f t="shared" si="97"/>
        <v>1.261900004465133E-3</v>
      </c>
      <c r="F59" s="243">
        <f t="shared" si="97"/>
        <v>-8.0677932623075321E-2</v>
      </c>
      <c r="G59" s="245">
        <f t="shared" si="97"/>
        <v>0</v>
      </c>
      <c r="H59" s="246">
        <f t="shared" si="97"/>
        <v>0</v>
      </c>
      <c r="I59" s="245">
        <f t="shared" si="97"/>
        <v>0</v>
      </c>
      <c r="J59" s="246">
        <f t="shared" si="97"/>
        <v>0</v>
      </c>
      <c r="K59" s="247">
        <f t="shared" si="97"/>
        <v>0</v>
      </c>
      <c r="L59" s="248">
        <f t="shared" si="97"/>
        <v>0</v>
      </c>
      <c r="M59" s="247">
        <f t="shared" si="97"/>
        <v>0</v>
      </c>
      <c r="N59" s="248">
        <f t="shared" si="97"/>
        <v>0</v>
      </c>
      <c r="O59" s="324">
        <f t="shared" ref="O59:R59" si="98">O15-O38</f>
        <v>0</v>
      </c>
      <c r="P59" s="325">
        <f t="shared" si="98"/>
        <v>0</v>
      </c>
      <c r="Q59" s="324">
        <f t="shared" si="98"/>
        <v>0</v>
      </c>
      <c r="R59" s="325">
        <f t="shared" si="98"/>
        <v>0</v>
      </c>
      <c r="S59" s="18"/>
    </row>
    <row r="60" spans="2:26">
      <c r="B60" s="225"/>
      <c r="C60" s="236"/>
      <c r="D60" s="236"/>
      <c r="E60" s="238"/>
      <c r="F60" s="236"/>
      <c r="G60" s="239"/>
      <c r="H60" s="252"/>
      <c r="I60" s="239"/>
      <c r="J60" s="252"/>
      <c r="K60" s="241"/>
      <c r="L60" s="253"/>
      <c r="M60" s="241"/>
      <c r="N60" s="253"/>
      <c r="O60" s="322"/>
      <c r="P60" s="327"/>
      <c r="Q60" s="322"/>
      <c r="R60" s="327"/>
    </row>
    <row r="61" spans="2:26">
      <c r="B61" s="138" t="s">
        <v>15</v>
      </c>
      <c r="C61" s="233">
        <f t="shared" ref="C61:N61" si="99">C56-C59</f>
        <v>0.21184939998784102</v>
      </c>
      <c r="D61" s="233">
        <f t="shared" si="99"/>
        <v>-0.15167030002339743</v>
      </c>
      <c r="E61" s="249">
        <f t="shared" si="99"/>
        <v>-1.261900004465133E-3</v>
      </c>
      <c r="F61" s="233">
        <f t="shared" si="99"/>
        <v>8.0677932623075321E-2</v>
      </c>
      <c r="G61" s="250">
        <f t="shared" si="99"/>
        <v>0</v>
      </c>
      <c r="H61" s="234">
        <f t="shared" si="99"/>
        <v>0</v>
      </c>
      <c r="I61" s="250">
        <f t="shared" si="99"/>
        <v>0</v>
      </c>
      <c r="J61" s="234">
        <f t="shared" si="99"/>
        <v>0</v>
      </c>
      <c r="K61" s="251">
        <f t="shared" si="99"/>
        <v>0</v>
      </c>
      <c r="L61" s="235">
        <f t="shared" si="99"/>
        <v>0</v>
      </c>
      <c r="M61" s="251">
        <f t="shared" si="99"/>
        <v>0</v>
      </c>
      <c r="N61" s="235">
        <f t="shared" si="99"/>
        <v>0</v>
      </c>
      <c r="O61" s="326">
        <f t="shared" ref="O61:R61" si="100">O56-O59</f>
        <v>0</v>
      </c>
      <c r="P61" s="321">
        <f t="shared" si="100"/>
        <v>0</v>
      </c>
      <c r="Q61" s="326">
        <f t="shared" si="100"/>
        <v>0</v>
      </c>
      <c r="R61" s="321">
        <f t="shared" si="100"/>
        <v>0</v>
      </c>
    </row>
    <row r="62" spans="2:26">
      <c r="B62" s="53" t="s">
        <v>16</v>
      </c>
      <c r="C62" s="48" t="e">
        <f t="shared" ref="C62:N62" si="101">C61/C52</f>
        <v>#DIV/0!</v>
      </c>
      <c r="D62" s="48" t="e">
        <f t="shared" si="101"/>
        <v>#DIV/0!</v>
      </c>
      <c r="E62" s="102" t="e">
        <f t="shared" si="101"/>
        <v>#DIV/0!</v>
      </c>
      <c r="F62" s="48" t="e">
        <f t="shared" si="101"/>
        <v>#DIV/0!</v>
      </c>
      <c r="G62" s="49" t="e">
        <f t="shared" si="101"/>
        <v>#DIV/0!</v>
      </c>
      <c r="H62" s="50" t="e">
        <f t="shared" si="101"/>
        <v>#DIV/0!</v>
      </c>
      <c r="I62" s="49" t="e">
        <f t="shared" si="101"/>
        <v>#DIV/0!</v>
      </c>
      <c r="J62" s="50" t="e">
        <f t="shared" si="101"/>
        <v>#DIV/0!</v>
      </c>
      <c r="K62" s="51" t="e">
        <f t="shared" si="101"/>
        <v>#DIV/0!</v>
      </c>
      <c r="L62" s="52" t="e">
        <f t="shared" si="101"/>
        <v>#DIV/0!</v>
      </c>
      <c r="M62" s="51" t="e">
        <f t="shared" si="101"/>
        <v>#DIV/0!</v>
      </c>
      <c r="N62" s="52" t="e">
        <f t="shared" si="101"/>
        <v>#DIV/0!</v>
      </c>
      <c r="O62" s="313" t="e">
        <f t="shared" ref="O62:R62" si="102">O61/O52</f>
        <v>#DIV/0!</v>
      </c>
      <c r="P62" s="301" t="e">
        <f t="shared" si="102"/>
        <v>#DIV/0!</v>
      </c>
      <c r="Q62" s="313" t="e">
        <f t="shared" si="102"/>
        <v>#DIV/0!</v>
      </c>
      <c r="R62" s="301" t="e">
        <f t="shared" si="102"/>
        <v>#DIV/0!</v>
      </c>
    </row>
    <row r="63" spans="2:26">
      <c r="B63" s="226"/>
      <c r="C63" s="32"/>
      <c r="D63" s="32"/>
      <c r="E63" s="146"/>
      <c r="F63" s="32"/>
      <c r="G63" s="33"/>
      <c r="H63" s="34"/>
      <c r="I63" s="33"/>
      <c r="J63" s="34"/>
      <c r="K63" s="35"/>
      <c r="L63" s="36"/>
      <c r="M63" s="35"/>
      <c r="N63" s="36"/>
      <c r="O63" s="316"/>
      <c r="P63" s="317"/>
      <c r="Q63" s="316"/>
      <c r="R63" s="317"/>
    </row>
    <row r="64" spans="2:26">
      <c r="B64" s="53" t="s">
        <v>109</v>
      </c>
      <c r="C64" s="243">
        <f>SUM(C20:C21)-SUM(C43)</f>
        <v>0</v>
      </c>
      <c r="D64" s="254">
        <f t="shared" ref="D64:N64" si="103">SUM(D20:D21)-SUM(D43)</f>
        <v>0</v>
      </c>
      <c r="E64" s="255">
        <f t="shared" si="103"/>
        <v>0</v>
      </c>
      <c r="F64" s="254">
        <f t="shared" si="103"/>
        <v>0</v>
      </c>
      <c r="G64" s="256">
        <f t="shared" si="103"/>
        <v>0</v>
      </c>
      <c r="H64" s="257">
        <f t="shared" si="103"/>
        <v>0</v>
      </c>
      <c r="I64" s="256">
        <f t="shared" si="103"/>
        <v>0</v>
      </c>
      <c r="J64" s="257">
        <f t="shared" si="103"/>
        <v>0</v>
      </c>
      <c r="K64" s="258">
        <f t="shared" si="103"/>
        <v>0</v>
      </c>
      <c r="L64" s="259">
        <f t="shared" si="103"/>
        <v>0</v>
      </c>
      <c r="M64" s="258">
        <f t="shared" si="103"/>
        <v>0</v>
      </c>
      <c r="N64" s="260">
        <f t="shared" si="103"/>
        <v>0</v>
      </c>
      <c r="O64" s="328">
        <f t="shared" ref="O64:R64" si="104">SUM(O20:O21)-SUM(O43)</f>
        <v>0</v>
      </c>
      <c r="P64" s="329">
        <f t="shared" si="104"/>
        <v>0</v>
      </c>
      <c r="Q64" s="328">
        <f t="shared" si="104"/>
        <v>0</v>
      </c>
      <c r="R64" s="330">
        <f t="shared" si="104"/>
        <v>0</v>
      </c>
    </row>
    <row r="65" spans="2:20">
      <c r="B65" s="53" t="s">
        <v>19</v>
      </c>
      <c r="C65" s="243">
        <f>SUM(C22)-SUM(C44)</f>
        <v>0</v>
      </c>
      <c r="D65" s="254">
        <f t="shared" ref="D65:N65" si="105">SUM(D22)-SUM(D44)</f>
        <v>0</v>
      </c>
      <c r="E65" s="254">
        <f t="shared" si="105"/>
        <v>0</v>
      </c>
      <c r="F65" s="254">
        <f t="shared" si="105"/>
        <v>0</v>
      </c>
      <c r="G65" s="256">
        <f t="shared" si="105"/>
        <v>0</v>
      </c>
      <c r="H65" s="257">
        <f t="shared" si="105"/>
        <v>0</v>
      </c>
      <c r="I65" s="257">
        <f t="shared" si="105"/>
        <v>0</v>
      </c>
      <c r="J65" s="257">
        <f t="shared" si="105"/>
        <v>0</v>
      </c>
      <c r="K65" s="258">
        <f t="shared" si="105"/>
        <v>0</v>
      </c>
      <c r="L65" s="259">
        <f t="shared" si="105"/>
        <v>0</v>
      </c>
      <c r="M65" s="258">
        <f t="shared" si="105"/>
        <v>0</v>
      </c>
      <c r="N65" s="260">
        <f t="shared" si="105"/>
        <v>0</v>
      </c>
      <c r="O65" s="328">
        <f t="shared" ref="O65:R65" si="106">SUM(O22)-SUM(O44)</f>
        <v>0</v>
      </c>
      <c r="P65" s="329">
        <f t="shared" si="106"/>
        <v>0</v>
      </c>
      <c r="Q65" s="328">
        <f t="shared" si="106"/>
        <v>0</v>
      </c>
      <c r="R65" s="330">
        <f t="shared" si="106"/>
        <v>0</v>
      </c>
    </row>
    <row r="66" spans="2:20">
      <c r="B66" s="96"/>
      <c r="C66" s="254"/>
      <c r="D66" s="254"/>
      <c r="E66" s="255"/>
      <c r="F66" s="254"/>
      <c r="G66" s="256"/>
      <c r="H66" s="257"/>
      <c r="I66" s="256"/>
      <c r="J66" s="257"/>
      <c r="K66" s="258"/>
      <c r="L66" s="259"/>
      <c r="M66" s="258"/>
      <c r="N66" s="260"/>
      <c r="O66" s="328"/>
      <c r="P66" s="329"/>
      <c r="Q66" s="328"/>
      <c r="R66" s="330"/>
    </row>
    <row r="67" spans="2:20">
      <c r="B67" s="138" t="s">
        <v>20</v>
      </c>
      <c r="C67" s="331">
        <f>C61-C64-C65</f>
        <v>0.21184939998784102</v>
      </c>
      <c r="D67" s="331">
        <f t="shared" ref="D67:N67" si="107">D61-D64-D65</f>
        <v>-0.15167030002339743</v>
      </c>
      <c r="E67" s="332">
        <f t="shared" si="107"/>
        <v>-1.261900004465133E-3</v>
      </c>
      <c r="F67" s="331">
        <f t="shared" si="107"/>
        <v>8.0677932623075321E-2</v>
      </c>
      <c r="G67" s="333">
        <f t="shared" si="107"/>
        <v>0</v>
      </c>
      <c r="H67" s="334">
        <f t="shared" si="107"/>
        <v>0</v>
      </c>
      <c r="I67" s="333">
        <f t="shared" si="107"/>
        <v>0</v>
      </c>
      <c r="J67" s="334">
        <f t="shared" si="107"/>
        <v>0</v>
      </c>
      <c r="K67" s="335">
        <f t="shared" si="107"/>
        <v>0</v>
      </c>
      <c r="L67" s="336">
        <f t="shared" si="107"/>
        <v>0</v>
      </c>
      <c r="M67" s="335">
        <f t="shared" si="107"/>
        <v>0</v>
      </c>
      <c r="N67" s="337">
        <f t="shared" si="107"/>
        <v>0</v>
      </c>
      <c r="O67" s="321">
        <f t="shared" ref="O67:R67" si="108">O61-O64-O65</f>
        <v>0</v>
      </c>
      <c r="P67" s="321">
        <f t="shared" si="108"/>
        <v>0</v>
      </c>
      <c r="Q67" s="321">
        <f t="shared" si="108"/>
        <v>0</v>
      </c>
      <c r="R67" s="321">
        <f t="shared" si="108"/>
        <v>0</v>
      </c>
    </row>
    <row r="68" spans="2:20">
      <c r="B68" s="229"/>
      <c r="C68" s="230"/>
      <c r="D68" s="230"/>
      <c r="E68" s="230"/>
      <c r="F68" s="230"/>
      <c r="G68" s="230"/>
      <c r="H68" s="230"/>
      <c r="I68" s="230"/>
      <c r="J68" s="230"/>
      <c r="K68" s="230"/>
      <c r="L68" s="230"/>
      <c r="M68" s="230"/>
      <c r="N68" s="230"/>
      <c r="O68" s="230"/>
      <c r="P68" s="230"/>
      <c r="Q68" s="230"/>
      <c r="R68" s="230"/>
      <c r="S68" s="214"/>
      <c r="T68" s="214"/>
    </row>
    <row r="69" spans="2:20" ht="15.5">
      <c r="B69" s="231"/>
      <c r="C69" s="232"/>
      <c r="D69" s="232"/>
      <c r="E69" s="232"/>
      <c r="F69" s="232"/>
      <c r="G69" s="232"/>
      <c r="H69" s="232"/>
      <c r="I69" s="232"/>
      <c r="J69" s="232"/>
      <c r="K69" s="232"/>
      <c r="L69" s="232"/>
      <c r="M69" s="232"/>
      <c r="N69" s="232"/>
      <c r="O69" s="232"/>
      <c r="P69" s="232"/>
      <c r="Q69" s="232"/>
      <c r="R69" s="232"/>
      <c r="S69" s="214"/>
      <c r="T69" s="214"/>
    </row>
  </sheetData>
  <mergeCells count="16">
    <mergeCell ref="T3:Z3"/>
    <mergeCell ref="AB3:AH3"/>
    <mergeCell ref="AJ3:AP3"/>
    <mergeCell ref="C50:F50"/>
    <mergeCell ref="G50:J50"/>
    <mergeCell ref="K50:N50"/>
    <mergeCell ref="C3:F3"/>
    <mergeCell ref="G3:J3"/>
    <mergeCell ref="K3:N3"/>
    <mergeCell ref="B27:N27"/>
    <mergeCell ref="C29:F29"/>
    <mergeCell ref="G29:J29"/>
    <mergeCell ref="K29:N29"/>
    <mergeCell ref="O3:R3"/>
    <mergeCell ref="O29:R29"/>
    <mergeCell ref="O50:R50"/>
  </mergeCells>
  <pageMargins left="0.7" right="0.7" top="0.75" bottom="0.75" header="0.3" footer="0.3"/>
  <pageSetup paperSize="9" scale="57" orientation="landscape" horizontalDpi="1200" verticalDpi="1200" r:id="rId1"/>
  <colBreaks count="1" manualBreakCount="1">
    <brk id="26" min="1" max="26" man="1"/>
  </colBreaks>
  <ignoredErrors>
    <ignoredError sqref="C38:N38" formulaRange="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43"/>
  <sheetViews>
    <sheetView tabSelected="1" view="pageBreakPreview" topLeftCell="K29" zoomScale="80" zoomScaleNormal="100" zoomScaleSheetLayoutView="80" workbookViewId="0">
      <selection activeCell="U42" sqref="U42"/>
    </sheetView>
  </sheetViews>
  <sheetFormatPr defaultRowHeight="14.5"/>
  <cols>
    <col min="1" max="1" width="2.453125" customWidth="1"/>
    <col min="2" max="2" width="42.453125" customWidth="1"/>
    <col min="3" max="18" width="10.54296875" customWidth="1"/>
    <col min="19" max="19" width="3" customWidth="1"/>
  </cols>
  <sheetData>
    <row r="1" spans="2:29" ht="15" thickBot="1"/>
    <row r="2" spans="2:29" ht="16" thickBot="1">
      <c r="B2" s="1" t="s">
        <v>28</v>
      </c>
      <c r="C2" s="62"/>
      <c r="D2" s="62"/>
      <c r="E2" s="62"/>
      <c r="F2" s="62"/>
      <c r="G2" s="62"/>
      <c r="H2" s="62"/>
      <c r="I2" s="62"/>
      <c r="J2" s="62"/>
      <c r="K2" s="62"/>
      <c r="L2" s="62"/>
      <c r="M2" s="62"/>
      <c r="N2" s="62"/>
      <c r="O2" s="263"/>
      <c r="P2" s="263"/>
      <c r="Q2" s="263"/>
      <c r="R2" s="263"/>
      <c r="S2" s="20"/>
    </row>
    <row r="3" spans="2:29" ht="15" thickBot="1">
      <c r="B3" s="63" t="s">
        <v>27</v>
      </c>
      <c r="C3" s="363">
        <v>2016</v>
      </c>
      <c r="D3" s="355"/>
      <c r="E3" s="355"/>
      <c r="F3" s="356"/>
      <c r="G3" s="357">
        <v>2017</v>
      </c>
      <c r="H3" s="358"/>
      <c r="I3" s="358"/>
      <c r="J3" s="359"/>
      <c r="K3" s="360">
        <v>2018</v>
      </c>
      <c r="L3" s="361"/>
      <c r="M3" s="361"/>
      <c r="N3" s="362"/>
      <c r="O3" s="365">
        <v>2019</v>
      </c>
      <c r="P3" s="366"/>
      <c r="Q3" s="366"/>
      <c r="R3" s="367"/>
      <c r="S3" s="24"/>
    </row>
    <row r="4" spans="2:29" ht="15" thickBot="1">
      <c r="B4" s="8" t="s">
        <v>1</v>
      </c>
      <c r="C4" s="147" t="s">
        <v>2</v>
      </c>
      <c r="D4" s="147" t="s">
        <v>3</v>
      </c>
      <c r="E4" s="147" t="s">
        <v>4</v>
      </c>
      <c r="F4" s="148" t="s">
        <v>5</v>
      </c>
      <c r="G4" s="64" t="s">
        <v>2</v>
      </c>
      <c r="H4" s="64" t="s">
        <v>3</v>
      </c>
      <c r="I4" s="64" t="s">
        <v>4</v>
      </c>
      <c r="J4" s="65" t="s">
        <v>5</v>
      </c>
      <c r="K4" s="66" t="s">
        <v>2</v>
      </c>
      <c r="L4" s="66" t="s">
        <v>3</v>
      </c>
      <c r="M4" s="66" t="s">
        <v>4</v>
      </c>
      <c r="N4" s="67" t="s">
        <v>5</v>
      </c>
      <c r="O4" s="265" t="s">
        <v>2</v>
      </c>
      <c r="P4" s="265" t="s">
        <v>3</v>
      </c>
      <c r="Q4" s="265" t="s">
        <v>4</v>
      </c>
      <c r="R4" s="266" t="s">
        <v>5</v>
      </c>
      <c r="S4" s="24"/>
    </row>
    <row r="5" spans="2:29">
      <c r="B5" s="68" t="s">
        <v>128</v>
      </c>
      <c r="C5" s="69">
        <v>210286</v>
      </c>
      <c r="D5" s="69">
        <v>227975</v>
      </c>
      <c r="E5" s="69">
        <v>197493</v>
      </c>
      <c r="F5" s="69">
        <v>241411</v>
      </c>
      <c r="G5" s="70">
        <v>235666</v>
      </c>
      <c r="H5" s="70">
        <v>240069</v>
      </c>
      <c r="I5" s="70">
        <v>233229</v>
      </c>
      <c r="J5" s="70">
        <v>264511</v>
      </c>
      <c r="K5" s="71">
        <v>204225</v>
      </c>
      <c r="L5" s="71">
        <v>225504</v>
      </c>
      <c r="M5" s="71">
        <v>217475</v>
      </c>
      <c r="N5" s="71">
        <v>241443</v>
      </c>
      <c r="O5" s="267">
        <v>223259</v>
      </c>
      <c r="P5" s="267"/>
      <c r="Q5" s="267"/>
      <c r="R5" s="267"/>
      <c r="S5" s="24"/>
      <c r="U5" s="18"/>
      <c r="V5" s="18"/>
      <c r="W5" s="18"/>
      <c r="X5" s="18"/>
      <c r="Y5" s="18"/>
      <c r="Z5" s="18"/>
      <c r="AA5" s="18"/>
      <c r="AB5" s="18"/>
      <c r="AC5" s="18"/>
    </row>
    <row r="6" spans="2:29">
      <c r="B6" s="72"/>
      <c r="C6" s="73"/>
      <c r="D6" s="73"/>
      <c r="E6" s="73"/>
      <c r="F6" s="73"/>
      <c r="G6" s="74"/>
      <c r="H6" s="74"/>
      <c r="I6" s="74"/>
      <c r="J6" s="74"/>
      <c r="K6" s="75"/>
      <c r="L6" s="75"/>
      <c r="M6" s="75"/>
      <c r="N6" s="75"/>
      <c r="O6" s="268"/>
      <c r="P6" s="268"/>
      <c r="Q6" s="268"/>
      <c r="R6" s="268"/>
      <c r="S6" s="24"/>
    </row>
    <row r="7" spans="2:29">
      <c r="B7" s="72" t="s">
        <v>29</v>
      </c>
      <c r="C7" s="73">
        <v>61453</v>
      </c>
      <c r="D7" s="73">
        <v>68415</v>
      </c>
      <c r="E7" s="73">
        <v>50378</v>
      </c>
      <c r="F7" s="73">
        <v>101243</v>
      </c>
      <c r="G7" s="74">
        <v>74794</v>
      </c>
      <c r="H7" s="74">
        <v>80170</v>
      </c>
      <c r="I7" s="74">
        <v>58026</v>
      </c>
      <c r="J7" s="74">
        <v>65503</v>
      </c>
      <c r="K7" s="75">
        <v>44243</v>
      </c>
      <c r="L7" s="75">
        <v>60080</v>
      </c>
      <c r="M7" s="75">
        <v>58670</v>
      </c>
      <c r="N7" s="75">
        <v>64198</v>
      </c>
      <c r="O7" s="268">
        <v>73124</v>
      </c>
      <c r="P7" s="268"/>
      <c r="Q7" s="268"/>
      <c r="R7" s="268"/>
      <c r="S7" s="24"/>
      <c r="U7" s="18"/>
      <c r="V7" s="18"/>
      <c r="W7" s="18"/>
      <c r="X7" s="18"/>
      <c r="Y7" s="18"/>
      <c r="Z7" s="18"/>
      <c r="AA7" s="18"/>
      <c r="AB7" s="18"/>
      <c r="AC7" s="18"/>
    </row>
    <row r="8" spans="2:29">
      <c r="B8" s="72" t="s">
        <v>129</v>
      </c>
      <c r="C8" s="73">
        <v>29761</v>
      </c>
      <c r="D8" s="73">
        <v>29910</v>
      </c>
      <c r="E8" s="73">
        <v>35928</v>
      </c>
      <c r="F8" s="73">
        <v>25167</v>
      </c>
      <c r="G8" s="74">
        <v>22299</v>
      </c>
      <c r="H8" s="74">
        <v>24314</v>
      </c>
      <c r="I8" s="74">
        <v>27544</v>
      </c>
      <c r="J8" s="74">
        <v>29777</v>
      </c>
      <c r="K8" s="75">
        <v>22878</v>
      </c>
      <c r="L8" s="75">
        <v>20743</v>
      </c>
      <c r="M8" s="75">
        <v>22536</v>
      </c>
      <c r="N8" s="75">
        <v>26103</v>
      </c>
      <c r="O8" s="268">
        <v>23857</v>
      </c>
      <c r="P8" s="268"/>
      <c r="Q8" s="268"/>
      <c r="R8" s="268"/>
      <c r="S8" s="24"/>
      <c r="U8" s="18"/>
      <c r="V8" s="18"/>
      <c r="W8" s="18"/>
      <c r="X8" s="18"/>
      <c r="Y8" s="18"/>
      <c r="Z8" s="18"/>
      <c r="AA8" s="18"/>
      <c r="AB8" s="18"/>
      <c r="AC8" s="18"/>
    </row>
    <row r="9" spans="2:29">
      <c r="B9" s="72" t="s">
        <v>130</v>
      </c>
      <c r="C9" s="73">
        <v>79351</v>
      </c>
      <c r="D9" s="73">
        <v>72574</v>
      </c>
      <c r="E9" s="73">
        <v>89621</v>
      </c>
      <c r="F9" s="73">
        <v>66695</v>
      </c>
      <c r="G9" s="74">
        <v>85065</v>
      </c>
      <c r="H9" s="74">
        <v>69597</v>
      </c>
      <c r="I9" s="74">
        <v>75370</v>
      </c>
      <c r="J9" s="74">
        <v>88698</v>
      </c>
      <c r="K9" s="75">
        <v>80675</v>
      </c>
      <c r="L9" s="75">
        <v>75380</v>
      </c>
      <c r="M9" s="75">
        <v>83494</v>
      </c>
      <c r="N9" s="75">
        <v>92935</v>
      </c>
      <c r="O9" s="268">
        <v>82816</v>
      </c>
      <c r="P9" s="268"/>
      <c r="Q9" s="268"/>
      <c r="R9" s="268"/>
      <c r="S9" s="24"/>
    </row>
    <row r="10" spans="2:29">
      <c r="B10" s="76" t="s">
        <v>30</v>
      </c>
      <c r="C10" s="77">
        <v>35153</v>
      </c>
      <c r="D10" s="77">
        <v>47795</v>
      </c>
      <c r="E10" s="77">
        <v>46764</v>
      </c>
      <c r="F10" s="77">
        <v>41303</v>
      </c>
      <c r="G10" s="78">
        <v>37287</v>
      </c>
      <c r="H10" s="78">
        <v>44582</v>
      </c>
      <c r="I10" s="78">
        <v>66934</v>
      </c>
      <c r="J10" s="78">
        <v>40924</v>
      </c>
      <c r="K10" s="79">
        <v>40323</v>
      </c>
      <c r="L10" s="79">
        <v>38743</v>
      </c>
      <c r="M10" s="79">
        <v>36983</v>
      </c>
      <c r="N10" s="79">
        <v>49572</v>
      </c>
      <c r="O10" s="296">
        <v>34956</v>
      </c>
      <c r="P10" s="296"/>
      <c r="Q10" s="296"/>
      <c r="R10" s="296"/>
      <c r="S10" s="24"/>
      <c r="U10" s="18"/>
      <c r="V10" s="18"/>
      <c r="W10" s="18"/>
      <c r="X10" s="18"/>
      <c r="Y10" s="18"/>
      <c r="Z10" s="18"/>
      <c r="AA10" s="18"/>
      <c r="AB10" s="18"/>
      <c r="AC10" s="18"/>
    </row>
    <row r="11" spans="2:29">
      <c r="B11" s="72" t="s">
        <v>31</v>
      </c>
      <c r="C11" s="73">
        <f t="shared" ref="C11:F11" si="0">SUM(C7:C10)</f>
        <v>205718</v>
      </c>
      <c r="D11" s="73">
        <f t="shared" si="0"/>
        <v>218694</v>
      </c>
      <c r="E11" s="73">
        <f t="shared" si="0"/>
        <v>222691</v>
      </c>
      <c r="F11" s="73">
        <f t="shared" si="0"/>
        <v>234408</v>
      </c>
      <c r="G11" s="74">
        <f t="shared" ref="G11:N11" si="1">SUM(G7:G10)</f>
        <v>219445</v>
      </c>
      <c r="H11" s="74">
        <f t="shared" si="1"/>
        <v>218663</v>
      </c>
      <c r="I11" s="74">
        <f t="shared" si="1"/>
        <v>227874</v>
      </c>
      <c r="J11" s="74">
        <f t="shared" si="1"/>
        <v>224902</v>
      </c>
      <c r="K11" s="75">
        <f t="shared" si="1"/>
        <v>188119</v>
      </c>
      <c r="L11" s="75">
        <f t="shared" si="1"/>
        <v>194946</v>
      </c>
      <c r="M11" s="75">
        <f t="shared" si="1"/>
        <v>201683</v>
      </c>
      <c r="N11" s="75">
        <f t="shared" si="1"/>
        <v>232808</v>
      </c>
      <c r="O11" s="268">
        <f t="shared" ref="O11:R11" si="2">SUM(O7:O10)</f>
        <v>214753</v>
      </c>
      <c r="P11" s="268">
        <f t="shared" si="2"/>
        <v>0</v>
      </c>
      <c r="Q11" s="268">
        <f t="shared" si="2"/>
        <v>0</v>
      </c>
      <c r="R11" s="268">
        <f t="shared" si="2"/>
        <v>0</v>
      </c>
      <c r="S11" s="24"/>
    </row>
    <row r="12" spans="2:29">
      <c r="B12" s="72"/>
      <c r="C12" s="73"/>
      <c r="D12" s="73"/>
      <c r="E12" s="73"/>
      <c r="F12" s="73"/>
      <c r="G12" s="74"/>
      <c r="H12" s="74"/>
      <c r="I12" s="74"/>
      <c r="J12" s="74"/>
      <c r="K12" s="75"/>
      <c r="L12" s="75"/>
      <c r="M12" s="75"/>
      <c r="N12" s="75"/>
      <c r="O12" s="268"/>
      <c r="P12" s="268"/>
      <c r="Q12" s="268"/>
      <c r="R12" s="268"/>
      <c r="S12" s="24"/>
      <c r="U12" s="18"/>
      <c r="V12" s="18"/>
      <c r="W12" s="18"/>
      <c r="X12" s="18"/>
      <c r="Y12" s="18"/>
      <c r="Z12" s="18"/>
      <c r="AA12" s="18"/>
      <c r="AB12" s="18"/>
      <c r="AC12" s="18"/>
    </row>
    <row r="13" spans="2:29">
      <c r="B13" s="80" t="s">
        <v>42</v>
      </c>
      <c r="C13" s="81">
        <f t="shared" ref="C13:F13" si="3">+C5-C11</f>
        <v>4568</v>
      </c>
      <c r="D13" s="81">
        <f t="shared" si="3"/>
        <v>9281</v>
      </c>
      <c r="E13" s="81">
        <f t="shared" si="3"/>
        <v>-25198</v>
      </c>
      <c r="F13" s="81">
        <f t="shared" si="3"/>
        <v>7003</v>
      </c>
      <c r="G13" s="82">
        <f t="shared" ref="G13:N13" si="4">+G5-G11</f>
        <v>16221</v>
      </c>
      <c r="H13" s="82">
        <f t="shared" si="4"/>
        <v>21406</v>
      </c>
      <c r="I13" s="82">
        <f t="shared" si="4"/>
        <v>5355</v>
      </c>
      <c r="J13" s="82">
        <f t="shared" si="4"/>
        <v>39609</v>
      </c>
      <c r="K13" s="83">
        <f t="shared" si="4"/>
        <v>16106</v>
      </c>
      <c r="L13" s="83">
        <f t="shared" si="4"/>
        <v>30558</v>
      </c>
      <c r="M13" s="83">
        <f t="shared" si="4"/>
        <v>15792</v>
      </c>
      <c r="N13" s="83">
        <f t="shared" si="4"/>
        <v>8635</v>
      </c>
      <c r="O13" s="269">
        <f t="shared" ref="O13:R13" si="5">+O5-O11</f>
        <v>8506</v>
      </c>
      <c r="P13" s="269">
        <f t="shared" si="5"/>
        <v>0</v>
      </c>
      <c r="Q13" s="269">
        <f t="shared" si="5"/>
        <v>0</v>
      </c>
      <c r="R13" s="269">
        <f t="shared" si="5"/>
        <v>0</v>
      </c>
      <c r="S13" s="24"/>
    </row>
    <row r="14" spans="2:29">
      <c r="B14" s="72"/>
      <c r="C14" s="73"/>
      <c r="D14" s="73"/>
      <c r="E14" s="73"/>
      <c r="F14" s="73"/>
      <c r="G14" s="74"/>
      <c r="H14" s="74"/>
      <c r="I14" s="74"/>
      <c r="J14" s="74"/>
      <c r="K14" s="75"/>
      <c r="L14" s="75"/>
      <c r="M14" s="75"/>
      <c r="N14" s="75"/>
      <c r="O14" s="268"/>
      <c r="P14" s="268"/>
      <c r="Q14" s="268"/>
      <c r="R14" s="268"/>
      <c r="S14" s="24"/>
      <c r="U14" s="18"/>
      <c r="V14" s="18"/>
      <c r="W14" s="18"/>
      <c r="X14" s="18"/>
      <c r="Y14" s="18"/>
      <c r="Z14" s="18"/>
      <c r="AA14" s="18"/>
      <c r="AB14" s="18"/>
      <c r="AC14" s="18"/>
    </row>
    <row r="15" spans="2:29">
      <c r="B15" s="72" t="s">
        <v>32</v>
      </c>
      <c r="C15" s="73">
        <v>13672</v>
      </c>
      <c r="D15" s="73">
        <v>13269</v>
      </c>
      <c r="E15" s="73">
        <v>13242</v>
      </c>
      <c r="F15" s="73">
        <v>14578</v>
      </c>
      <c r="G15" s="74">
        <v>14389</v>
      </c>
      <c r="H15" s="74">
        <v>14514</v>
      </c>
      <c r="I15" s="74">
        <v>13916</v>
      </c>
      <c r="J15" s="74">
        <v>13669</v>
      </c>
      <c r="K15" s="75">
        <v>12410</v>
      </c>
      <c r="L15" s="75">
        <v>11775</v>
      </c>
      <c r="M15" s="75">
        <v>10952</v>
      </c>
      <c r="N15" s="75">
        <v>11986</v>
      </c>
      <c r="O15" s="268">
        <v>19161</v>
      </c>
      <c r="P15" s="268"/>
      <c r="Q15" s="268"/>
      <c r="R15" s="268"/>
      <c r="S15" s="24"/>
    </row>
    <row r="16" spans="2:29">
      <c r="B16" s="72" t="s">
        <v>19</v>
      </c>
      <c r="C16" s="73">
        <v>0</v>
      </c>
      <c r="D16" s="73">
        <v>0</v>
      </c>
      <c r="E16" s="73">
        <v>0</v>
      </c>
      <c r="F16" s="73">
        <v>0</v>
      </c>
      <c r="G16" s="74">
        <v>0</v>
      </c>
      <c r="H16" s="74">
        <v>0</v>
      </c>
      <c r="I16" s="74">
        <v>0</v>
      </c>
      <c r="J16" s="74">
        <v>21876</v>
      </c>
      <c r="K16" s="75">
        <v>0</v>
      </c>
      <c r="L16" s="75">
        <v>278</v>
      </c>
      <c r="M16" s="75">
        <v>0</v>
      </c>
      <c r="N16" s="75">
        <v>0</v>
      </c>
      <c r="O16" s="268">
        <v>0</v>
      </c>
      <c r="P16" s="268"/>
      <c r="Q16" s="268"/>
      <c r="R16" s="268"/>
      <c r="S16" s="24"/>
      <c r="U16" s="18"/>
      <c r="V16" s="18"/>
      <c r="W16" s="18"/>
      <c r="X16" s="18"/>
      <c r="Y16" s="18"/>
      <c r="Z16" s="18"/>
      <c r="AA16" s="18"/>
      <c r="AB16" s="18"/>
      <c r="AC16" s="18"/>
    </row>
    <row r="17" spans="2:29">
      <c r="B17" s="72"/>
      <c r="C17" s="73"/>
      <c r="D17" s="73"/>
      <c r="E17" s="73"/>
      <c r="F17" s="73"/>
      <c r="G17" s="74"/>
      <c r="H17" s="74"/>
      <c r="I17" s="74"/>
      <c r="J17" s="74"/>
      <c r="K17" s="75"/>
      <c r="L17" s="75"/>
      <c r="M17" s="75"/>
      <c r="N17" s="75"/>
      <c r="O17" s="268"/>
      <c r="P17" s="268"/>
      <c r="Q17" s="268"/>
      <c r="R17" s="268"/>
      <c r="S17" s="24"/>
    </row>
    <row r="18" spans="2:29">
      <c r="B18" s="80" t="s">
        <v>43</v>
      </c>
      <c r="C18" s="81">
        <f>C13-C15-C16</f>
        <v>-9104</v>
      </c>
      <c r="D18" s="81">
        <f t="shared" ref="D18:F18" si="6">D13-D15-D16</f>
        <v>-3988</v>
      </c>
      <c r="E18" s="81">
        <f t="shared" si="6"/>
        <v>-38440</v>
      </c>
      <c r="F18" s="81">
        <f t="shared" si="6"/>
        <v>-7575</v>
      </c>
      <c r="G18" s="82">
        <f>G13-G15-G16</f>
        <v>1832</v>
      </c>
      <c r="H18" s="82">
        <f t="shared" ref="H18:N18" si="7">H13-H15-H16</f>
        <v>6892</v>
      </c>
      <c r="I18" s="82">
        <f t="shared" si="7"/>
        <v>-8561</v>
      </c>
      <c r="J18" s="82">
        <f t="shared" si="7"/>
        <v>4064</v>
      </c>
      <c r="K18" s="83">
        <f t="shared" si="7"/>
        <v>3696</v>
      </c>
      <c r="L18" s="83">
        <f t="shared" si="7"/>
        <v>18505</v>
      </c>
      <c r="M18" s="83">
        <f t="shared" si="7"/>
        <v>4840</v>
      </c>
      <c r="N18" s="83">
        <f t="shared" si="7"/>
        <v>-3351</v>
      </c>
      <c r="O18" s="269">
        <f t="shared" ref="O18:R18" si="8">O13-O15-O16</f>
        <v>-10655</v>
      </c>
      <c r="P18" s="269">
        <f t="shared" si="8"/>
        <v>0</v>
      </c>
      <c r="Q18" s="269">
        <f t="shared" si="8"/>
        <v>0</v>
      </c>
      <c r="R18" s="269">
        <f t="shared" si="8"/>
        <v>0</v>
      </c>
      <c r="S18" s="24"/>
      <c r="U18" s="18"/>
      <c r="V18" s="18"/>
      <c r="W18" s="18"/>
      <c r="X18" s="18"/>
      <c r="Y18" s="18"/>
      <c r="Z18" s="18"/>
      <c r="AA18" s="18"/>
      <c r="AB18" s="18"/>
      <c r="AC18" s="18"/>
    </row>
    <row r="19" spans="2:29">
      <c r="B19" s="72"/>
      <c r="C19" s="73"/>
      <c r="D19" s="73"/>
      <c r="E19" s="73"/>
      <c r="F19" s="73"/>
      <c r="G19" s="74"/>
      <c r="H19" s="74"/>
      <c r="I19" s="74"/>
      <c r="J19" s="74"/>
      <c r="K19" s="75"/>
      <c r="L19" s="75"/>
      <c r="M19" s="75"/>
      <c r="N19" s="75"/>
      <c r="O19" s="268"/>
      <c r="P19" s="268"/>
      <c r="Q19" s="268"/>
      <c r="R19" s="268"/>
      <c r="S19" s="24"/>
    </row>
    <row r="20" spans="2:29">
      <c r="B20" s="72" t="s">
        <v>33</v>
      </c>
      <c r="C20" s="73">
        <v>4743</v>
      </c>
      <c r="D20" s="73">
        <v>21550</v>
      </c>
      <c r="E20" s="73">
        <v>158</v>
      </c>
      <c r="F20" s="73">
        <v>13260</v>
      </c>
      <c r="G20" s="74">
        <v>7240</v>
      </c>
      <c r="H20" s="74">
        <v>4595</v>
      </c>
      <c r="I20" s="74">
        <v>3105</v>
      </c>
      <c r="J20" s="74">
        <v>14643</v>
      </c>
      <c r="K20" s="75">
        <v>12047</v>
      </c>
      <c r="L20" s="75">
        <v>9069</v>
      </c>
      <c r="M20" s="75">
        <v>4248</v>
      </c>
      <c r="N20" s="75">
        <v>-394</v>
      </c>
      <c r="O20" s="268">
        <v>2498</v>
      </c>
      <c r="P20" s="268"/>
      <c r="Q20" s="268"/>
      <c r="R20" s="268"/>
      <c r="S20" s="24"/>
    </row>
    <row r="21" spans="2:29">
      <c r="B21" s="76" t="s">
        <v>34</v>
      </c>
      <c r="C21" s="77">
        <v>-7453</v>
      </c>
      <c r="D21" s="77">
        <v>-13736</v>
      </c>
      <c r="E21" s="77">
        <v>-7201</v>
      </c>
      <c r="F21" s="77">
        <v>-7835</v>
      </c>
      <c r="G21" s="78">
        <v>-6826</v>
      </c>
      <c r="H21" s="78">
        <v>-10789</v>
      </c>
      <c r="I21" s="78">
        <v>-14597</v>
      </c>
      <c r="J21" s="78">
        <v>-11124</v>
      </c>
      <c r="K21" s="79">
        <v>-17230</v>
      </c>
      <c r="L21" s="79">
        <v>-14785</v>
      </c>
      <c r="M21" s="79">
        <v>-13315</v>
      </c>
      <c r="N21" s="79">
        <v>-4449</v>
      </c>
      <c r="O21" s="296">
        <v>-9623</v>
      </c>
      <c r="P21" s="296"/>
      <c r="Q21" s="296"/>
      <c r="R21" s="296"/>
      <c r="S21" s="24"/>
    </row>
    <row r="22" spans="2:29">
      <c r="B22" s="72" t="s">
        <v>35</v>
      </c>
      <c r="C22" s="73">
        <f t="shared" ref="C22:F22" si="9">SUM(C20:C21)</f>
        <v>-2710</v>
      </c>
      <c r="D22" s="73">
        <f t="shared" si="9"/>
        <v>7814</v>
      </c>
      <c r="E22" s="73">
        <f t="shared" si="9"/>
        <v>-7043</v>
      </c>
      <c r="F22" s="73">
        <f t="shared" si="9"/>
        <v>5425</v>
      </c>
      <c r="G22" s="74">
        <f t="shared" ref="G22:N22" si="10">SUM(G20:G21)</f>
        <v>414</v>
      </c>
      <c r="H22" s="74">
        <f t="shared" si="10"/>
        <v>-6194</v>
      </c>
      <c r="I22" s="74">
        <f t="shared" si="10"/>
        <v>-11492</v>
      </c>
      <c r="J22" s="74">
        <f t="shared" si="10"/>
        <v>3519</v>
      </c>
      <c r="K22" s="75">
        <f t="shared" si="10"/>
        <v>-5183</v>
      </c>
      <c r="L22" s="75">
        <f t="shared" si="10"/>
        <v>-5716</v>
      </c>
      <c r="M22" s="75">
        <f t="shared" si="10"/>
        <v>-9067</v>
      </c>
      <c r="N22" s="75">
        <f t="shared" si="10"/>
        <v>-4843</v>
      </c>
      <c r="O22" s="268">
        <f t="shared" ref="O22:R22" si="11">SUM(O20:O21)</f>
        <v>-7125</v>
      </c>
      <c r="P22" s="268">
        <f t="shared" si="11"/>
        <v>0</v>
      </c>
      <c r="Q22" s="268">
        <f t="shared" si="11"/>
        <v>0</v>
      </c>
      <c r="R22" s="268">
        <f t="shared" si="11"/>
        <v>0</v>
      </c>
      <c r="S22" s="24"/>
      <c r="U22" s="18"/>
      <c r="V22" s="18"/>
      <c r="W22" s="18"/>
      <c r="X22" s="18"/>
      <c r="Y22" s="18"/>
      <c r="Z22" s="18"/>
      <c r="AA22" s="18"/>
      <c r="AB22" s="18"/>
      <c r="AC22" s="18"/>
    </row>
    <row r="23" spans="2:29">
      <c r="B23" s="72"/>
      <c r="C23" s="73"/>
      <c r="D23" s="73"/>
      <c r="E23" s="73"/>
      <c r="F23" s="73"/>
      <c r="G23" s="74"/>
      <c r="H23" s="74"/>
      <c r="I23" s="74"/>
      <c r="J23" s="74"/>
      <c r="K23" s="75"/>
      <c r="L23" s="75"/>
      <c r="M23" s="75"/>
      <c r="N23" s="75"/>
      <c r="O23" s="268"/>
      <c r="P23" s="268"/>
      <c r="Q23" s="268"/>
      <c r="R23" s="268"/>
      <c r="S23" s="24"/>
    </row>
    <row r="24" spans="2:29">
      <c r="B24" s="80" t="s">
        <v>36</v>
      </c>
      <c r="C24" s="81">
        <f t="shared" ref="C24:F24" si="12">+C18+C22</f>
        <v>-11814</v>
      </c>
      <c r="D24" s="81">
        <f t="shared" si="12"/>
        <v>3826</v>
      </c>
      <c r="E24" s="81">
        <f t="shared" si="12"/>
        <v>-45483</v>
      </c>
      <c r="F24" s="81">
        <f t="shared" si="12"/>
        <v>-2150</v>
      </c>
      <c r="G24" s="82">
        <f t="shared" ref="G24:N24" si="13">+G18+G22</f>
        <v>2246</v>
      </c>
      <c r="H24" s="82">
        <f t="shared" si="13"/>
        <v>698</v>
      </c>
      <c r="I24" s="82">
        <f t="shared" si="13"/>
        <v>-20053</v>
      </c>
      <c r="J24" s="82">
        <f t="shared" si="13"/>
        <v>7583</v>
      </c>
      <c r="K24" s="83">
        <f t="shared" si="13"/>
        <v>-1487</v>
      </c>
      <c r="L24" s="83">
        <f t="shared" si="13"/>
        <v>12789</v>
      </c>
      <c r="M24" s="83">
        <f t="shared" si="13"/>
        <v>-4227</v>
      </c>
      <c r="N24" s="83">
        <f t="shared" si="13"/>
        <v>-8194</v>
      </c>
      <c r="O24" s="269">
        <f t="shared" ref="O24:R24" si="14">+O18+O22</f>
        <v>-17780</v>
      </c>
      <c r="P24" s="269">
        <f t="shared" si="14"/>
        <v>0</v>
      </c>
      <c r="Q24" s="269">
        <f t="shared" si="14"/>
        <v>0</v>
      </c>
      <c r="R24" s="269">
        <f t="shared" si="14"/>
        <v>0</v>
      </c>
      <c r="S24" s="24"/>
    </row>
    <row r="25" spans="2:29">
      <c r="B25" s="72"/>
      <c r="C25" s="73"/>
      <c r="D25" s="73"/>
      <c r="E25" s="73"/>
      <c r="F25" s="73"/>
      <c r="G25" s="74"/>
      <c r="H25" s="74"/>
      <c r="I25" s="74"/>
      <c r="J25" s="74"/>
      <c r="K25" s="75"/>
      <c r="L25" s="75"/>
      <c r="M25" s="75"/>
      <c r="N25" s="75"/>
      <c r="O25" s="268"/>
      <c r="P25" s="268"/>
      <c r="Q25" s="268"/>
      <c r="R25" s="268"/>
      <c r="S25" s="24"/>
    </row>
    <row r="26" spans="2:29">
      <c r="B26" s="72" t="s">
        <v>37</v>
      </c>
      <c r="C26" s="73">
        <v>4035</v>
      </c>
      <c r="D26" s="73">
        <v>-3981</v>
      </c>
      <c r="E26" s="73">
        <v>5666</v>
      </c>
      <c r="F26" s="73">
        <v>-3518</v>
      </c>
      <c r="G26" s="74">
        <v>-2518</v>
      </c>
      <c r="H26" s="74">
        <v>-306</v>
      </c>
      <c r="I26" s="74">
        <v>1377</v>
      </c>
      <c r="J26" s="74">
        <v>-290</v>
      </c>
      <c r="K26" s="75">
        <v>-2246</v>
      </c>
      <c r="L26" s="75">
        <v>-2516</v>
      </c>
      <c r="M26" s="75">
        <v>-2049</v>
      </c>
      <c r="N26" s="75">
        <v>-149</v>
      </c>
      <c r="O26" s="268">
        <v>-342</v>
      </c>
      <c r="P26" s="268"/>
      <c r="Q26" s="268"/>
      <c r="R26" s="268"/>
      <c r="S26" s="24"/>
    </row>
    <row r="27" spans="2:29">
      <c r="B27" s="72"/>
      <c r="C27" s="77"/>
      <c r="D27" s="77"/>
      <c r="E27" s="77"/>
      <c r="F27" s="77"/>
      <c r="G27" s="78"/>
      <c r="H27" s="78"/>
      <c r="I27" s="78"/>
      <c r="J27" s="78"/>
      <c r="K27" s="79"/>
      <c r="L27" s="79"/>
      <c r="M27" s="79"/>
      <c r="N27" s="79"/>
      <c r="O27" s="296"/>
      <c r="P27" s="296"/>
      <c r="Q27" s="296"/>
      <c r="R27" s="296"/>
      <c r="S27" s="24"/>
    </row>
    <row r="28" spans="2:29">
      <c r="B28" s="84" t="s">
        <v>38</v>
      </c>
      <c r="C28" s="73">
        <f t="shared" ref="C28:K28" si="15">C24+C26</f>
        <v>-7779</v>
      </c>
      <c r="D28" s="73">
        <f t="shared" si="15"/>
        <v>-155</v>
      </c>
      <c r="E28" s="73">
        <f t="shared" si="15"/>
        <v>-39817</v>
      </c>
      <c r="F28" s="73">
        <f t="shared" si="15"/>
        <v>-5668</v>
      </c>
      <c r="G28" s="74">
        <f t="shared" si="15"/>
        <v>-272</v>
      </c>
      <c r="H28" s="74">
        <f t="shared" si="15"/>
        <v>392</v>
      </c>
      <c r="I28" s="74">
        <f t="shared" si="15"/>
        <v>-18676</v>
      </c>
      <c r="J28" s="74">
        <f t="shared" si="15"/>
        <v>7293</v>
      </c>
      <c r="K28" s="85">
        <f t="shared" si="15"/>
        <v>-3733</v>
      </c>
      <c r="L28" s="85">
        <f>L24+L26</f>
        <v>10273</v>
      </c>
      <c r="M28" s="85">
        <f>M24+M26</f>
        <v>-6276</v>
      </c>
      <c r="N28" s="85">
        <f>N24+N26</f>
        <v>-8343</v>
      </c>
      <c r="O28" s="297">
        <f t="shared" ref="O28" si="16">O24+O26</f>
        <v>-18122</v>
      </c>
      <c r="P28" s="297">
        <f>P24+P26</f>
        <v>0</v>
      </c>
      <c r="Q28" s="297">
        <f>Q24+Q26</f>
        <v>0</v>
      </c>
      <c r="R28" s="297">
        <f>R24+R26</f>
        <v>0</v>
      </c>
      <c r="S28" s="24"/>
    </row>
    <row r="29" spans="2:29">
      <c r="B29" s="76" t="s">
        <v>39</v>
      </c>
      <c r="C29" s="77">
        <v>70</v>
      </c>
      <c r="D29" s="77">
        <v>1191</v>
      </c>
      <c r="E29" s="77">
        <v>-1476</v>
      </c>
      <c r="F29" s="77">
        <v>-29998</v>
      </c>
      <c r="G29" s="78">
        <v>0</v>
      </c>
      <c r="H29" s="78">
        <v>0</v>
      </c>
      <c r="I29" s="78"/>
      <c r="J29" s="78">
        <v>-9462</v>
      </c>
      <c r="K29" s="79">
        <v>0</v>
      </c>
      <c r="L29" s="79">
        <v>0</v>
      </c>
      <c r="M29" s="79">
        <v>0</v>
      </c>
      <c r="N29" s="79">
        <v>0</v>
      </c>
      <c r="O29" s="296">
        <v>0</v>
      </c>
      <c r="P29" s="296">
        <v>0</v>
      </c>
      <c r="Q29" s="296">
        <v>0</v>
      </c>
      <c r="R29" s="296">
        <v>0</v>
      </c>
      <c r="S29" s="24"/>
    </row>
    <row r="30" spans="2:29">
      <c r="B30" s="138" t="s">
        <v>131</v>
      </c>
      <c r="C30" s="81">
        <f t="shared" ref="C30:F30" si="17">SUM(C28:C29)</f>
        <v>-7709</v>
      </c>
      <c r="D30" s="81">
        <f t="shared" si="17"/>
        <v>1036</v>
      </c>
      <c r="E30" s="81">
        <f t="shared" si="17"/>
        <v>-41293</v>
      </c>
      <c r="F30" s="81">
        <f t="shared" si="17"/>
        <v>-35666</v>
      </c>
      <c r="G30" s="82">
        <f t="shared" ref="G30:N30" si="18">SUM(G28:G29)</f>
        <v>-272</v>
      </c>
      <c r="H30" s="82">
        <f t="shared" si="18"/>
        <v>392</v>
      </c>
      <c r="I30" s="82">
        <f t="shared" si="18"/>
        <v>-18676</v>
      </c>
      <c r="J30" s="82">
        <f t="shared" si="18"/>
        <v>-2169</v>
      </c>
      <c r="K30" s="83">
        <f t="shared" si="18"/>
        <v>-3733</v>
      </c>
      <c r="L30" s="83">
        <f>SUM(L28:L29)</f>
        <v>10273</v>
      </c>
      <c r="M30" s="83">
        <f t="shared" si="18"/>
        <v>-6276</v>
      </c>
      <c r="N30" s="83">
        <f t="shared" si="18"/>
        <v>-8343</v>
      </c>
      <c r="O30" s="269">
        <f t="shared" ref="O30" si="19">SUM(O28:O29)</f>
        <v>-18122</v>
      </c>
      <c r="P30" s="269">
        <f>SUM(P28:P29)</f>
        <v>0</v>
      </c>
      <c r="Q30" s="269">
        <f t="shared" ref="Q30:R30" si="20">SUM(Q28:Q29)</f>
        <v>0</v>
      </c>
      <c r="R30" s="269">
        <f t="shared" si="20"/>
        <v>0</v>
      </c>
      <c r="S30" s="24"/>
    </row>
    <row r="31" spans="2:29">
      <c r="B31" s="96"/>
      <c r="C31" s="73"/>
      <c r="D31" s="73"/>
      <c r="E31" s="73"/>
      <c r="F31" s="73"/>
      <c r="G31" s="74"/>
      <c r="H31" s="74"/>
      <c r="I31" s="74"/>
      <c r="J31" s="74"/>
      <c r="K31" s="85"/>
      <c r="L31" s="85"/>
      <c r="M31" s="175"/>
      <c r="N31" s="75"/>
      <c r="O31" s="297"/>
      <c r="P31" s="297"/>
      <c r="Q31" s="298"/>
      <c r="R31" s="268"/>
      <c r="S31" s="24"/>
    </row>
    <row r="32" spans="2:29" ht="15.5">
      <c r="B32" s="9"/>
      <c r="C32" s="27"/>
      <c r="D32" s="27"/>
      <c r="E32" s="149"/>
      <c r="F32" s="27"/>
      <c r="G32" s="30"/>
      <c r="H32" s="28"/>
      <c r="I32" s="30"/>
      <c r="J32" s="28"/>
      <c r="K32" s="29"/>
      <c r="L32" s="29"/>
      <c r="M32" s="31"/>
      <c r="N32" s="29"/>
      <c r="O32" s="299"/>
      <c r="P32" s="299"/>
      <c r="Q32" s="300"/>
      <c r="R32" s="299"/>
      <c r="S32" s="24"/>
    </row>
    <row r="33" spans="1:19">
      <c r="B33" s="47" t="s">
        <v>44</v>
      </c>
      <c r="C33" s="48">
        <f>SUM(C5-C7-C8)/C5</f>
        <v>0.56623836108918335</v>
      </c>
      <c r="D33" s="48">
        <f t="shared" ref="D33:K33" si="21">SUM(D5-D7-D8)/D5</f>
        <v>0.56870270863033223</v>
      </c>
      <c r="E33" s="102">
        <f t="shared" si="21"/>
        <v>0.56299210604932837</v>
      </c>
      <c r="F33" s="48">
        <f t="shared" si="21"/>
        <v>0.47637017368719736</v>
      </c>
      <c r="G33" s="49">
        <f t="shared" si="21"/>
        <v>0.58800590666451669</v>
      </c>
      <c r="H33" s="50">
        <f t="shared" si="21"/>
        <v>0.56477512715094413</v>
      </c>
      <c r="I33" s="49">
        <f t="shared" si="21"/>
        <v>0.63310737515489068</v>
      </c>
      <c r="J33" s="50">
        <f t="shared" si="21"/>
        <v>0.63978813735534623</v>
      </c>
      <c r="K33" s="52">
        <f t="shared" si="21"/>
        <v>0.67133798506549147</v>
      </c>
      <c r="L33" s="52">
        <f>SUM(L5-L7-L8)/L5</f>
        <v>0.6415895061728395</v>
      </c>
      <c r="M33" s="52">
        <f>SUM(M5-M7-M8)/M5</f>
        <v>0.62659616047821587</v>
      </c>
      <c r="N33" s="52">
        <f>SUM(N5-N7-N8)/N5</f>
        <v>0.62599454115464104</v>
      </c>
      <c r="O33" s="301">
        <f t="shared" ref="O33" si="22">SUM(O5-O7-O8)/O5</f>
        <v>0.56561213657680098</v>
      </c>
      <c r="P33" s="301"/>
      <c r="Q33" s="301"/>
      <c r="R33" s="301"/>
      <c r="S33" s="20"/>
    </row>
    <row r="34" spans="1:19">
      <c r="B34" s="53" t="s">
        <v>16</v>
      </c>
      <c r="C34" s="48">
        <f t="shared" ref="C34:K34" si="23">C13/C5</f>
        <v>2.1722796572287265E-2</v>
      </c>
      <c r="D34" s="48">
        <f t="shared" si="23"/>
        <v>4.0710604232920278E-2</v>
      </c>
      <c r="E34" s="102">
        <f t="shared" si="23"/>
        <v>-0.12758933228013145</v>
      </c>
      <c r="F34" s="48">
        <f t="shared" si="23"/>
        <v>2.9008620154011209E-2</v>
      </c>
      <c r="G34" s="49">
        <f t="shared" si="23"/>
        <v>6.8830463452513299E-2</v>
      </c>
      <c r="H34" s="50">
        <f t="shared" si="23"/>
        <v>8.9166031432629786E-2</v>
      </c>
      <c r="I34" s="49">
        <f t="shared" si="23"/>
        <v>2.2960266519172143E-2</v>
      </c>
      <c r="J34" s="50">
        <f t="shared" si="23"/>
        <v>0.14974424504084896</v>
      </c>
      <c r="K34" s="348">
        <f t="shared" si="23"/>
        <v>7.8863998041375935E-2</v>
      </c>
      <c r="L34" s="348">
        <f>L13/L5</f>
        <v>0.13550979140059599</v>
      </c>
      <c r="M34" s="348">
        <f>M13/M5</f>
        <v>7.2615243131394419E-2</v>
      </c>
      <c r="N34" s="348">
        <f>N13/N5</f>
        <v>3.5764134806144723E-2</v>
      </c>
      <c r="O34" s="349">
        <f t="shared" ref="O34" si="24">O13/O5</f>
        <v>3.8099247958648927E-2</v>
      </c>
      <c r="P34" s="301"/>
      <c r="Q34" s="301"/>
      <c r="R34" s="301"/>
      <c r="S34" s="20"/>
    </row>
    <row r="35" spans="1:19">
      <c r="B35" s="47" t="s">
        <v>21</v>
      </c>
      <c r="C35" s="48">
        <f t="shared" ref="C35:J35" si="25">C18/C5</f>
        <v>-4.3293419438288808E-2</v>
      </c>
      <c r="D35" s="48">
        <f t="shared" si="25"/>
        <v>-1.7493146178309025E-2</v>
      </c>
      <c r="E35" s="102">
        <f t="shared" si="25"/>
        <v>-0.19463981001858294</v>
      </c>
      <c r="F35" s="48">
        <f t="shared" si="25"/>
        <v>-3.1378023370931728E-2</v>
      </c>
      <c r="G35" s="49">
        <f t="shared" si="25"/>
        <v>7.7737136455831562E-3</v>
      </c>
      <c r="H35" s="50">
        <f t="shared" si="25"/>
        <v>2.8708412997929762E-2</v>
      </c>
      <c r="I35" s="49">
        <f t="shared" si="25"/>
        <v>-3.6706413010388933E-2</v>
      </c>
      <c r="J35" s="50">
        <f t="shared" si="25"/>
        <v>1.5364200354616633E-2</v>
      </c>
      <c r="K35" s="52">
        <f>K18/K5</f>
        <v>1.8097686375321338E-2</v>
      </c>
      <c r="L35" s="52">
        <f>L18/L5</f>
        <v>8.2060628636299135E-2</v>
      </c>
      <c r="M35" s="52">
        <f>M18/M5</f>
        <v>2.2255431658811359E-2</v>
      </c>
      <c r="N35" s="202">
        <f>N18/N5</f>
        <v>-1.3879052198655583E-2</v>
      </c>
      <c r="O35" s="301">
        <f>O18/O5</f>
        <v>-4.7724839760099259E-2</v>
      </c>
      <c r="P35" s="301"/>
      <c r="Q35" s="301"/>
      <c r="R35" s="302"/>
      <c r="S35" s="20"/>
    </row>
    <row r="36" spans="1:19">
      <c r="B36" s="47" t="s">
        <v>40</v>
      </c>
      <c r="C36" s="54">
        <f>C30/C39*1000</f>
        <v>-0.10993095501825519</v>
      </c>
      <c r="D36" s="54">
        <f t="shared" ref="D36:L36" si="26">D30/D39*1000</f>
        <v>1.4514122177835065E-2</v>
      </c>
      <c r="E36" s="54">
        <f t="shared" si="26"/>
        <v>-0.57850545085843952</v>
      </c>
      <c r="F36" s="54">
        <f t="shared" si="26"/>
        <v>-0.40324445264740816</v>
      </c>
      <c r="G36" s="55">
        <f t="shared" si="26"/>
        <v>-3.048526056704871E-3</v>
      </c>
      <c r="H36" s="55">
        <f t="shared" si="26"/>
        <v>4.3934640228981969E-3</v>
      </c>
      <c r="I36" s="55">
        <f t="shared" si="26"/>
        <v>-0.20931717880522122</v>
      </c>
      <c r="J36" s="55">
        <f t="shared" si="26"/>
        <v>-2.4309753738944357E-2</v>
      </c>
      <c r="K36" s="56">
        <f t="shared" si="26"/>
        <v>-4.1838778564997368E-2</v>
      </c>
      <c r="L36" s="56">
        <f t="shared" si="26"/>
        <v>0.11513789772253361</v>
      </c>
      <c r="M36" s="56">
        <f>M30/M39*1000</f>
        <v>-7.0340255631910931E-2</v>
      </c>
      <c r="N36" s="56">
        <f>N30/N39*1000</f>
        <v>-9.3506812099590955E-2</v>
      </c>
      <c r="O36" s="303">
        <f t="shared" ref="O36" si="27">O30/O39*1000</f>
        <v>-0.20310804852796202</v>
      </c>
      <c r="P36" s="303"/>
      <c r="Q36" s="303"/>
      <c r="R36" s="303"/>
      <c r="S36" s="20"/>
    </row>
    <row r="37" spans="1:19">
      <c r="B37" s="47" t="s">
        <v>41</v>
      </c>
      <c r="C37" s="169">
        <f>C30/C40*1000</f>
        <v>-0.10993095501825519</v>
      </c>
      <c r="D37" s="169">
        <f>D30/D40*1000</f>
        <v>1.4514122177835065E-2</v>
      </c>
      <c r="E37" s="169">
        <f t="shared" ref="E37:L37" si="28">E30/E40*1000</f>
        <v>-0.57519019631313428</v>
      </c>
      <c r="F37" s="169">
        <f t="shared" si="28"/>
        <v>-0.40038879021637103</v>
      </c>
      <c r="G37" s="181">
        <f t="shared" si="28"/>
        <v>-3.0271236736051084E-3</v>
      </c>
      <c r="H37" s="181">
        <f t="shared" si="28"/>
        <v>4.3626194119603043E-3</v>
      </c>
      <c r="I37" s="181">
        <f t="shared" si="28"/>
        <v>-0.20784765341268019</v>
      </c>
      <c r="J37" s="181">
        <f t="shared" si="28"/>
        <v>-2.3760851067732455E-2</v>
      </c>
      <c r="K37" s="176">
        <f t="shared" si="28"/>
        <v>-4.0887038663070731E-2</v>
      </c>
      <c r="L37" s="176">
        <f t="shared" si="28"/>
        <v>0.11243139196962171</v>
      </c>
      <c r="M37" s="176">
        <f t="shared" ref="M37:O37" si="29">M30/M40*1000</f>
        <v>-6.8560597457758624E-2</v>
      </c>
      <c r="N37" s="176">
        <f t="shared" si="29"/>
        <v>-9.1141023675921001E-2</v>
      </c>
      <c r="O37" s="304">
        <f t="shared" si="29"/>
        <v>-0.19796927137181355</v>
      </c>
      <c r="P37" s="304"/>
      <c r="Q37" s="304"/>
      <c r="R37" s="304"/>
      <c r="S37" s="25"/>
    </row>
    <row r="38" spans="1:19" ht="15.5">
      <c r="A38" s="19"/>
      <c r="B38" s="21"/>
      <c r="C38" s="22"/>
      <c r="D38" s="22"/>
      <c r="E38" s="22"/>
      <c r="F38" s="22"/>
      <c r="G38" s="22"/>
      <c r="H38" s="22"/>
      <c r="I38" s="22"/>
      <c r="J38" s="22"/>
      <c r="K38" s="22"/>
      <c r="L38" s="22"/>
      <c r="M38" s="22"/>
      <c r="N38" s="22"/>
      <c r="O38" s="22"/>
      <c r="P38" s="22"/>
      <c r="Q38" s="22"/>
      <c r="R38" s="22"/>
      <c r="S38" s="20"/>
    </row>
    <row r="39" spans="1:19">
      <c r="B39" s="166" t="s">
        <v>45</v>
      </c>
      <c r="C39" s="37">
        <v>70125834.881720439</v>
      </c>
      <c r="D39" s="37">
        <v>71378757</v>
      </c>
      <c r="E39" s="150">
        <v>71378757</v>
      </c>
      <c r="F39" s="37">
        <v>88447589.956521735</v>
      </c>
      <c r="G39" s="38">
        <v>89223446</v>
      </c>
      <c r="H39" s="39">
        <v>89223446</v>
      </c>
      <c r="I39" s="38">
        <v>89223446</v>
      </c>
      <c r="J39" s="39">
        <v>89223446</v>
      </c>
      <c r="K39" s="40">
        <v>89223446</v>
      </c>
      <c r="L39" s="41">
        <v>89223446</v>
      </c>
      <c r="M39" s="41">
        <v>89223446</v>
      </c>
      <c r="N39" s="41">
        <v>89223446</v>
      </c>
      <c r="O39" s="305">
        <v>89223446</v>
      </c>
      <c r="P39" s="305"/>
      <c r="Q39" s="305"/>
      <c r="R39" s="305"/>
      <c r="S39" s="20"/>
    </row>
    <row r="40" spans="1:19">
      <c r="B40" s="53" t="s">
        <v>46</v>
      </c>
      <c r="C40" s="42">
        <v>70125834.881720439</v>
      </c>
      <c r="D40" s="42">
        <v>71378757</v>
      </c>
      <c r="E40" s="151">
        <v>71790166.565217391</v>
      </c>
      <c r="F40" s="42">
        <v>89078417.956521735</v>
      </c>
      <c r="G40" s="43">
        <v>89854274</v>
      </c>
      <c r="H40" s="44">
        <v>89854274</v>
      </c>
      <c r="I40" s="43">
        <v>89854274</v>
      </c>
      <c r="J40" s="44">
        <v>91284609.032608688</v>
      </c>
      <c r="K40" s="45">
        <v>91300327</v>
      </c>
      <c r="L40" s="46">
        <v>91371278.252747267</v>
      </c>
      <c r="M40" s="46">
        <v>91539459</v>
      </c>
      <c r="N40" s="46">
        <v>91539459</v>
      </c>
      <c r="O40" s="306">
        <v>91539459</v>
      </c>
      <c r="P40" s="306"/>
      <c r="Q40" s="306"/>
      <c r="R40" s="306"/>
      <c r="S40" s="20"/>
    </row>
    <row r="41" spans="1:19" ht="15.5">
      <c r="B41" s="23"/>
      <c r="C41" s="15"/>
      <c r="D41" s="15"/>
      <c r="E41" s="152"/>
      <c r="F41" s="15"/>
      <c r="G41" s="3"/>
      <c r="H41" s="2"/>
      <c r="I41" s="3"/>
      <c r="J41" s="2"/>
      <c r="K41" s="6"/>
      <c r="L41" s="5"/>
      <c r="M41" s="5"/>
      <c r="N41" s="5"/>
      <c r="O41" s="307"/>
      <c r="P41" s="308"/>
      <c r="Q41" s="308"/>
      <c r="R41" s="308"/>
      <c r="S41" s="20"/>
    </row>
    <row r="42" spans="1:19" ht="15.5">
      <c r="B42" s="57"/>
      <c r="C42" s="153"/>
      <c r="D42" s="153"/>
      <c r="E42" s="153"/>
      <c r="F42" s="153"/>
      <c r="G42" s="58"/>
      <c r="H42" s="17"/>
      <c r="I42" s="17"/>
      <c r="J42" s="17"/>
      <c r="K42" s="59"/>
      <c r="L42" s="60"/>
      <c r="M42" s="60"/>
      <c r="N42" s="61"/>
      <c r="O42" s="309"/>
      <c r="P42" s="310"/>
      <c r="Q42" s="310"/>
      <c r="R42" s="311"/>
      <c r="S42" s="20"/>
    </row>
    <row r="43" spans="1:19" ht="111.75" customHeight="1">
      <c r="B43" s="364" t="s">
        <v>132</v>
      </c>
      <c r="C43" s="364"/>
      <c r="D43" s="364"/>
      <c r="E43" s="364"/>
      <c r="F43" s="364"/>
      <c r="G43" s="364"/>
      <c r="H43" s="364"/>
      <c r="I43" s="364"/>
      <c r="J43" s="364"/>
      <c r="K43" s="364"/>
      <c r="L43" s="364"/>
      <c r="M43" s="364"/>
      <c r="N43" s="364"/>
      <c r="O43" s="364"/>
      <c r="P43" s="364"/>
      <c r="Q43" s="364"/>
      <c r="R43" s="364"/>
      <c r="S43" s="364"/>
    </row>
  </sheetData>
  <mergeCells count="5">
    <mergeCell ref="G3:J3"/>
    <mergeCell ref="K3:N3"/>
    <mergeCell ref="B43:S43"/>
    <mergeCell ref="C3:F3"/>
    <mergeCell ref="O3:R3"/>
  </mergeCells>
  <pageMargins left="0.7" right="0.7" top="0.75" bottom="0.75" header="0.3" footer="0.3"/>
  <pageSetup paperSize="9" scale="55" orientation="landscape" horizontalDpi="1200" verticalDpi="12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56"/>
  <sheetViews>
    <sheetView view="pageBreakPreview" topLeftCell="B25" zoomScale="80" zoomScaleNormal="100" zoomScaleSheetLayoutView="80" workbookViewId="0">
      <selection activeCell="O52" sqref="O52"/>
    </sheetView>
  </sheetViews>
  <sheetFormatPr defaultColWidth="9.453125" defaultRowHeight="13"/>
  <cols>
    <col min="1" max="1" width="2.453125" style="86" customWidth="1"/>
    <col min="2" max="2" width="49" style="86" customWidth="1"/>
    <col min="3" max="13" width="11.54296875" style="86" customWidth="1"/>
    <col min="14" max="18" width="10.54296875" style="86" customWidth="1"/>
    <col min="19" max="19" width="3" style="86" customWidth="1"/>
    <col min="20" max="16384" width="9.453125" style="86"/>
  </cols>
  <sheetData>
    <row r="1" spans="2:19" ht="13.5" thickBot="1"/>
    <row r="2" spans="2:19" ht="16" thickBot="1">
      <c r="B2" s="1" t="s">
        <v>88</v>
      </c>
      <c r="C2" s="62"/>
      <c r="D2" s="62"/>
      <c r="E2" s="62"/>
      <c r="F2" s="62"/>
      <c r="G2" s="62"/>
      <c r="H2" s="62"/>
      <c r="I2" s="62"/>
      <c r="J2" s="62"/>
      <c r="K2" s="62"/>
      <c r="L2" s="62"/>
      <c r="M2" s="62"/>
      <c r="N2" s="62"/>
      <c r="O2" s="263"/>
      <c r="P2" s="263"/>
      <c r="Q2" s="263"/>
      <c r="R2" s="263"/>
      <c r="S2" s="87"/>
    </row>
    <row r="3" spans="2:19" ht="13.5" thickBot="1">
      <c r="B3" s="63" t="s">
        <v>27</v>
      </c>
      <c r="C3" s="363">
        <v>2016</v>
      </c>
      <c r="D3" s="355"/>
      <c r="E3" s="355"/>
      <c r="F3" s="356"/>
      <c r="G3" s="357">
        <v>2017</v>
      </c>
      <c r="H3" s="358"/>
      <c r="I3" s="358"/>
      <c r="J3" s="359"/>
      <c r="K3" s="360">
        <v>2018</v>
      </c>
      <c r="L3" s="361"/>
      <c r="M3" s="361"/>
      <c r="N3" s="362"/>
      <c r="O3" s="365">
        <v>2019</v>
      </c>
      <c r="P3" s="366"/>
      <c r="Q3" s="366"/>
      <c r="R3" s="367"/>
      <c r="S3" s="88"/>
    </row>
    <row r="4" spans="2:19" ht="13.5" thickBot="1">
      <c r="B4" s="8" t="s">
        <v>1</v>
      </c>
      <c r="C4" s="147" t="s">
        <v>56</v>
      </c>
      <c r="D4" s="147" t="s">
        <v>57</v>
      </c>
      <c r="E4" s="147" t="s">
        <v>58</v>
      </c>
      <c r="F4" s="148" t="s">
        <v>59</v>
      </c>
      <c r="G4" s="64" t="s">
        <v>56</v>
      </c>
      <c r="H4" s="204" t="s">
        <v>57</v>
      </c>
      <c r="I4" s="64" t="s">
        <v>58</v>
      </c>
      <c r="J4" s="65" t="s">
        <v>59</v>
      </c>
      <c r="K4" s="66" t="s">
        <v>56</v>
      </c>
      <c r="L4" s="205" t="s">
        <v>57</v>
      </c>
      <c r="M4" s="66" t="s">
        <v>58</v>
      </c>
      <c r="N4" s="66" t="s">
        <v>59</v>
      </c>
      <c r="O4" s="265" t="s">
        <v>56</v>
      </c>
      <c r="P4" s="284" t="s">
        <v>57</v>
      </c>
      <c r="Q4" s="265" t="s">
        <v>58</v>
      </c>
      <c r="R4" s="265" t="s">
        <v>59</v>
      </c>
      <c r="S4" s="88"/>
    </row>
    <row r="5" spans="2:19">
      <c r="B5" s="89"/>
      <c r="C5" s="154"/>
      <c r="D5" s="154"/>
      <c r="E5" s="154"/>
      <c r="F5" s="154"/>
      <c r="G5" s="90"/>
      <c r="H5" s="90"/>
      <c r="I5" s="90"/>
      <c r="J5" s="90"/>
      <c r="K5" s="91"/>
      <c r="L5" s="91"/>
      <c r="M5" s="91"/>
      <c r="N5" s="91"/>
      <c r="O5" s="285"/>
      <c r="P5" s="285"/>
      <c r="Q5" s="285"/>
      <c r="R5" s="285"/>
      <c r="S5" s="88"/>
    </row>
    <row r="6" spans="2:19">
      <c r="B6" s="72" t="s">
        <v>48</v>
      </c>
      <c r="C6" s="73">
        <v>0</v>
      </c>
      <c r="D6" s="73">
        <v>0</v>
      </c>
      <c r="E6" s="73">
        <v>0</v>
      </c>
      <c r="F6" s="73">
        <v>17420</v>
      </c>
      <c r="G6" s="74">
        <v>13546</v>
      </c>
      <c r="H6" s="74">
        <v>13420</v>
      </c>
      <c r="I6" s="74">
        <v>12038</v>
      </c>
      <c r="J6" s="74">
        <v>16864</v>
      </c>
      <c r="K6" s="75">
        <v>13501</v>
      </c>
      <c r="L6" s="75">
        <v>12813</v>
      </c>
      <c r="M6" s="75">
        <v>13174</v>
      </c>
      <c r="N6" s="75">
        <v>14795</v>
      </c>
      <c r="O6" s="268">
        <v>13524</v>
      </c>
      <c r="P6" s="268"/>
      <c r="Q6" s="268"/>
      <c r="R6" s="268"/>
      <c r="S6" s="88"/>
    </row>
    <row r="7" spans="2:19">
      <c r="B7" s="72" t="s">
        <v>111</v>
      </c>
      <c r="C7" s="73">
        <v>199400</v>
      </c>
      <c r="D7" s="73">
        <v>195839</v>
      </c>
      <c r="E7" s="73">
        <v>183548</v>
      </c>
      <c r="F7" s="73">
        <v>178746</v>
      </c>
      <c r="G7" s="74">
        <v>175943</v>
      </c>
      <c r="H7" s="74">
        <v>168852</v>
      </c>
      <c r="I7" s="74">
        <v>157496</v>
      </c>
      <c r="J7" s="74">
        <v>148632</v>
      </c>
      <c r="K7" s="75">
        <v>142635</v>
      </c>
      <c r="L7" s="75">
        <v>143412</v>
      </c>
      <c r="M7" s="75">
        <v>140636</v>
      </c>
      <c r="N7" s="75">
        <v>145136</v>
      </c>
      <c r="O7" s="268">
        <v>140248</v>
      </c>
      <c r="P7" s="268"/>
      <c r="Q7" s="268"/>
      <c r="R7" s="268"/>
      <c r="S7" s="88"/>
    </row>
    <row r="8" spans="2:19">
      <c r="B8" s="72" t="s">
        <v>47</v>
      </c>
      <c r="C8" s="73">
        <v>344960</v>
      </c>
      <c r="D8" s="73">
        <v>343059</v>
      </c>
      <c r="E8" s="73">
        <v>327647</v>
      </c>
      <c r="F8" s="73">
        <v>316285</v>
      </c>
      <c r="G8" s="74">
        <v>316361</v>
      </c>
      <c r="H8" s="74">
        <v>315265</v>
      </c>
      <c r="I8" s="74">
        <v>303469</v>
      </c>
      <c r="J8" s="74">
        <v>305380</v>
      </c>
      <c r="K8" s="75">
        <v>294014</v>
      </c>
      <c r="L8" s="75">
        <v>300549</v>
      </c>
      <c r="M8" s="75">
        <v>300367</v>
      </c>
      <c r="N8" s="75">
        <v>317282</v>
      </c>
      <c r="O8" s="268">
        <v>314636</v>
      </c>
      <c r="P8" s="268"/>
      <c r="Q8" s="268"/>
      <c r="R8" s="268"/>
      <c r="S8" s="88"/>
    </row>
    <row r="9" spans="2:19">
      <c r="B9" s="72" t="s">
        <v>112</v>
      </c>
      <c r="C9" s="73">
        <v>39699</v>
      </c>
      <c r="D9" s="73">
        <v>38052</v>
      </c>
      <c r="E9" s="73">
        <v>34809</v>
      </c>
      <c r="F9" s="73">
        <v>33661</v>
      </c>
      <c r="G9" s="74">
        <v>28349</v>
      </c>
      <c r="H9" s="74">
        <v>24567</v>
      </c>
      <c r="I9" s="74">
        <v>24481</v>
      </c>
      <c r="J9" s="74">
        <v>22367</v>
      </c>
      <c r="K9" s="75">
        <v>21738</v>
      </c>
      <c r="L9" s="75">
        <v>20770</v>
      </c>
      <c r="M9" s="75">
        <v>21920</v>
      </c>
      <c r="N9" s="75">
        <v>25420</v>
      </c>
      <c r="O9" s="268">
        <v>84202</v>
      </c>
      <c r="P9" s="268"/>
      <c r="Q9" s="268"/>
      <c r="R9" s="268"/>
      <c r="S9" s="88"/>
    </row>
    <row r="10" spans="2:19">
      <c r="B10" s="72" t="s">
        <v>113</v>
      </c>
      <c r="C10" s="73">
        <v>674</v>
      </c>
      <c r="D10" s="73">
        <v>393</v>
      </c>
      <c r="E10" s="73">
        <v>395</v>
      </c>
      <c r="F10" s="73">
        <v>395</v>
      </c>
      <c r="G10" s="74">
        <v>395</v>
      </c>
      <c r="H10" s="74">
        <v>395</v>
      </c>
      <c r="I10" s="74">
        <v>387</v>
      </c>
      <c r="J10" s="74">
        <v>387</v>
      </c>
      <c r="K10" s="75">
        <v>387</v>
      </c>
      <c r="L10" s="75">
        <v>387</v>
      </c>
      <c r="M10" s="75">
        <v>195</v>
      </c>
      <c r="N10" s="75">
        <v>0</v>
      </c>
      <c r="O10" s="268">
        <v>0</v>
      </c>
      <c r="P10" s="268"/>
      <c r="Q10" s="268"/>
      <c r="R10" s="268"/>
      <c r="S10" s="88"/>
    </row>
    <row r="11" spans="2:19">
      <c r="B11" s="72" t="s">
        <v>114</v>
      </c>
      <c r="C11" s="73">
        <v>1625</v>
      </c>
      <c r="D11" s="73">
        <v>2052</v>
      </c>
      <c r="E11" s="73">
        <v>2625</v>
      </c>
      <c r="F11" s="73">
        <v>1008</v>
      </c>
      <c r="G11" s="74">
        <v>1225</v>
      </c>
      <c r="H11" s="74">
        <v>1461</v>
      </c>
      <c r="I11" s="74">
        <v>1808</v>
      </c>
      <c r="J11" s="74">
        <v>2147</v>
      </c>
      <c r="K11" s="75">
        <v>2168</v>
      </c>
      <c r="L11" s="75">
        <v>1188</v>
      </c>
      <c r="M11" s="75">
        <v>1536</v>
      </c>
      <c r="N11" s="75">
        <v>627</v>
      </c>
      <c r="O11" s="268">
        <v>3610</v>
      </c>
      <c r="P11" s="268"/>
      <c r="Q11" s="268"/>
      <c r="R11" s="268"/>
      <c r="S11" s="88"/>
    </row>
    <row r="12" spans="2:19">
      <c r="B12" s="80" t="s">
        <v>49</v>
      </c>
      <c r="C12" s="81">
        <f>SUM(C6:C11)</f>
        <v>586358</v>
      </c>
      <c r="D12" s="81">
        <f t="shared" ref="D12:F12" si="0">SUM(D6:D11)</f>
        <v>579395</v>
      </c>
      <c r="E12" s="81">
        <f t="shared" si="0"/>
        <v>549024</v>
      </c>
      <c r="F12" s="81">
        <f t="shared" si="0"/>
        <v>547515</v>
      </c>
      <c r="G12" s="82">
        <f>SUM(G6:G11)</f>
        <v>535819</v>
      </c>
      <c r="H12" s="82">
        <f t="shared" ref="H12:J12" si="1">SUM(H6:H11)</f>
        <v>523960</v>
      </c>
      <c r="I12" s="82">
        <f t="shared" si="1"/>
        <v>499679</v>
      </c>
      <c r="J12" s="82">
        <f t="shared" si="1"/>
        <v>495777</v>
      </c>
      <c r="K12" s="83">
        <f>SUM(K6:K11)</f>
        <v>474443</v>
      </c>
      <c r="L12" s="83">
        <f t="shared" ref="L12:R12" si="2">SUM(L6:L11)</f>
        <v>479119</v>
      </c>
      <c r="M12" s="83">
        <f t="shared" si="2"/>
        <v>477828</v>
      </c>
      <c r="N12" s="83">
        <f t="shared" si="2"/>
        <v>503260</v>
      </c>
      <c r="O12" s="269">
        <f t="shared" si="2"/>
        <v>556220</v>
      </c>
      <c r="P12" s="269">
        <f t="shared" si="2"/>
        <v>0</v>
      </c>
      <c r="Q12" s="269">
        <f t="shared" si="2"/>
        <v>0</v>
      </c>
      <c r="R12" s="269">
        <f t="shared" si="2"/>
        <v>0</v>
      </c>
      <c r="S12" s="88"/>
    </row>
    <row r="13" spans="2:19">
      <c r="B13" s="72"/>
      <c r="C13" s="73"/>
      <c r="D13" s="73"/>
      <c r="E13" s="73"/>
      <c r="F13" s="73"/>
      <c r="G13" s="74"/>
      <c r="H13" s="74"/>
      <c r="I13" s="74"/>
      <c r="J13" s="74"/>
      <c r="K13" s="75"/>
      <c r="L13" s="75"/>
      <c r="M13" s="75"/>
      <c r="N13" s="75"/>
      <c r="O13" s="268"/>
      <c r="P13" s="268"/>
      <c r="Q13" s="268"/>
      <c r="R13" s="268"/>
      <c r="S13" s="88"/>
    </row>
    <row r="14" spans="2:19">
      <c r="B14" s="72" t="s">
        <v>50</v>
      </c>
      <c r="C14" s="73">
        <v>96612</v>
      </c>
      <c r="D14" s="73">
        <v>79785</v>
      </c>
      <c r="E14" s="73">
        <v>68773</v>
      </c>
      <c r="F14" s="73">
        <v>66327</v>
      </c>
      <c r="G14" s="74">
        <v>69381</v>
      </c>
      <c r="H14" s="74">
        <v>68990</v>
      </c>
      <c r="I14" s="74">
        <v>62120</v>
      </c>
      <c r="J14" s="74">
        <v>65453</v>
      </c>
      <c r="K14" s="75">
        <v>62961</v>
      </c>
      <c r="L14" s="75">
        <v>56110</v>
      </c>
      <c r="M14" s="75">
        <v>68627</v>
      </c>
      <c r="N14" s="75">
        <v>71996</v>
      </c>
      <c r="O14" s="268">
        <v>63756</v>
      </c>
      <c r="P14" s="268"/>
      <c r="Q14" s="268"/>
      <c r="R14" s="268"/>
      <c r="S14" s="88"/>
    </row>
    <row r="15" spans="2:19">
      <c r="B15" s="72" t="s">
        <v>51</v>
      </c>
      <c r="C15" s="73">
        <v>69375</v>
      </c>
      <c r="D15" s="73">
        <v>75621</v>
      </c>
      <c r="E15" s="73">
        <v>83254</v>
      </c>
      <c r="F15" s="73">
        <v>75807</v>
      </c>
      <c r="G15" s="74">
        <v>131699</v>
      </c>
      <c r="H15" s="74">
        <v>146998</v>
      </c>
      <c r="I15" s="74">
        <v>169305</v>
      </c>
      <c r="J15" s="74">
        <v>227154</v>
      </c>
      <c r="K15" s="75">
        <v>47162</v>
      </c>
      <c r="L15" s="75">
        <v>67039</v>
      </c>
      <c r="M15" s="75">
        <v>81246</v>
      </c>
      <c r="N15" s="75">
        <v>82320</v>
      </c>
      <c r="O15" s="268">
        <v>92664</v>
      </c>
      <c r="P15" s="268"/>
      <c r="Q15" s="268"/>
      <c r="R15" s="268"/>
      <c r="S15" s="88"/>
    </row>
    <row r="16" spans="2:19">
      <c r="B16" s="72" t="s">
        <v>115</v>
      </c>
      <c r="C16" s="73">
        <v>132016</v>
      </c>
      <c r="D16" s="73">
        <v>172898</v>
      </c>
      <c r="E16" s="73">
        <v>150797</v>
      </c>
      <c r="F16" s="73">
        <v>142425</v>
      </c>
      <c r="G16" s="74">
        <v>150698</v>
      </c>
      <c r="H16" s="74">
        <v>137943</v>
      </c>
      <c r="I16" s="74">
        <v>136155</v>
      </c>
      <c r="J16" s="74">
        <v>130487</v>
      </c>
      <c r="K16" s="75">
        <v>402315</v>
      </c>
      <c r="L16" s="75">
        <v>171497</v>
      </c>
      <c r="M16" s="75">
        <v>150783</v>
      </c>
      <c r="N16" s="75">
        <v>160819</v>
      </c>
      <c r="O16" s="268">
        <v>123617</v>
      </c>
      <c r="P16" s="268"/>
      <c r="Q16" s="268"/>
      <c r="R16" s="268"/>
      <c r="S16" s="88"/>
    </row>
    <row r="17" spans="2:19">
      <c r="B17" s="72" t="s">
        <v>116</v>
      </c>
      <c r="C17" s="73">
        <v>40012</v>
      </c>
      <c r="D17" s="73">
        <v>39013</v>
      </c>
      <c r="E17" s="73">
        <v>36578</v>
      </c>
      <c r="F17" s="73">
        <v>31646</v>
      </c>
      <c r="G17" s="74">
        <v>35296</v>
      </c>
      <c r="H17" s="74">
        <v>40360</v>
      </c>
      <c r="I17" s="74">
        <v>39642</v>
      </c>
      <c r="J17" s="74">
        <v>37868</v>
      </c>
      <c r="K17" s="75">
        <v>29806</v>
      </c>
      <c r="L17" s="75">
        <v>34177</v>
      </c>
      <c r="M17" s="75">
        <v>36048</v>
      </c>
      <c r="N17" s="75">
        <v>32051</v>
      </c>
      <c r="O17" s="268">
        <v>40039</v>
      </c>
      <c r="P17" s="268"/>
      <c r="Q17" s="268"/>
      <c r="R17" s="268"/>
      <c r="S17" s="88"/>
    </row>
    <row r="18" spans="2:19">
      <c r="B18" s="72" t="s">
        <v>53</v>
      </c>
      <c r="C18" s="73">
        <v>0</v>
      </c>
      <c r="D18" s="73">
        <v>0</v>
      </c>
      <c r="E18" s="73">
        <v>0</v>
      </c>
      <c r="F18" s="73">
        <v>25225</v>
      </c>
      <c r="G18" s="74">
        <v>7524</v>
      </c>
      <c r="H18" s="74">
        <v>7524</v>
      </c>
      <c r="I18" s="74">
        <v>7524</v>
      </c>
      <c r="J18" s="74">
        <v>0</v>
      </c>
      <c r="K18" s="75">
        <v>0</v>
      </c>
      <c r="L18" s="75">
        <v>0</v>
      </c>
      <c r="M18" s="75">
        <v>0</v>
      </c>
      <c r="N18" s="75">
        <v>0</v>
      </c>
      <c r="O18" s="268">
        <v>0</v>
      </c>
      <c r="P18" s="268"/>
      <c r="Q18" s="268"/>
      <c r="R18" s="268"/>
      <c r="S18" s="88"/>
    </row>
    <row r="19" spans="2:19">
      <c r="B19" s="72" t="s">
        <v>54</v>
      </c>
      <c r="C19" s="73">
        <v>52911</v>
      </c>
      <c r="D19" s="73">
        <v>17686</v>
      </c>
      <c r="E19" s="73">
        <v>19195</v>
      </c>
      <c r="F19" s="73">
        <v>101474</v>
      </c>
      <c r="G19" s="74">
        <v>74973</v>
      </c>
      <c r="H19" s="74">
        <v>103590</v>
      </c>
      <c r="I19" s="74">
        <v>129258</v>
      </c>
      <c r="J19" s="74">
        <v>113633</v>
      </c>
      <c r="K19" s="75">
        <v>94375</v>
      </c>
      <c r="L19" s="75">
        <v>81195</v>
      </c>
      <c r="M19" s="75">
        <v>85888</v>
      </c>
      <c r="N19" s="75">
        <v>89700</v>
      </c>
      <c r="O19" s="268">
        <v>102164</v>
      </c>
      <c r="P19" s="268"/>
      <c r="Q19" s="268"/>
      <c r="R19" s="268"/>
      <c r="S19" s="88"/>
    </row>
    <row r="20" spans="2:19">
      <c r="B20" s="80" t="s">
        <v>52</v>
      </c>
      <c r="C20" s="81">
        <f t="shared" ref="C20:R20" si="3">SUM(C14:C19)</f>
        <v>390926</v>
      </c>
      <c r="D20" s="81">
        <f t="shared" si="3"/>
        <v>385003</v>
      </c>
      <c r="E20" s="81">
        <f t="shared" si="3"/>
        <v>358597</v>
      </c>
      <c r="F20" s="81">
        <f t="shared" si="3"/>
        <v>442904</v>
      </c>
      <c r="G20" s="82">
        <f t="shared" si="3"/>
        <v>469571</v>
      </c>
      <c r="H20" s="82">
        <f t="shared" si="3"/>
        <v>505405</v>
      </c>
      <c r="I20" s="82">
        <f t="shared" si="3"/>
        <v>544004</v>
      </c>
      <c r="J20" s="82">
        <f t="shared" si="3"/>
        <v>574595</v>
      </c>
      <c r="K20" s="83">
        <f t="shared" si="3"/>
        <v>636619</v>
      </c>
      <c r="L20" s="83">
        <f t="shared" si="3"/>
        <v>410018</v>
      </c>
      <c r="M20" s="83">
        <f t="shared" si="3"/>
        <v>422592</v>
      </c>
      <c r="N20" s="83">
        <f t="shared" si="3"/>
        <v>436886</v>
      </c>
      <c r="O20" s="269">
        <f t="shared" si="3"/>
        <v>422240</v>
      </c>
      <c r="P20" s="269">
        <f t="shared" si="3"/>
        <v>0</v>
      </c>
      <c r="Q20" s="269">
        <f t="shared" si="3"/>
        <v>0</v>
      </c>
      <c r="R20" s="269">
        <f t="shared" si="3"/>
        <v>0</v>
      </c>
      <c r="S20" s="88"/>
    </row>
    <row r="21" spans="2:19">
      <c r="B21" s="72"/>
      <c r="C21" s="73"/>
      <c r="D21" s="73"/>
      <c r="E21" s="73"/>
      <c r="F21" s="73"/>
      <c r="G21" s="74"/>
      <c r="H21" s="74"/>
      <c r="I21" s="74"/>
      <c r="J21" s="74"/>
      <c r="K21" s="75"/>
      <c r="L21" s="75"/>
      <c r="M21" s="75"/>
      <c r="N21" s="75"/>
      <c r="O21" s="268"/>
      <c r="P21" s="268"/>
      <c r="Q21" s="268"/>
      <c r="R21" s="268"/>
      <c r="S21" s="88"/>
    </row>
    <row r="22" spans="2:19" ht="13.5" thickBot="1">
      <c r="B22" s="106" t="s">
        <v>55</v>
      </c>
      <c r="C22" s="155">
        <f t="shared" ref="C22:R22" si="4">C12+C20</f>
        <v>977284</v>
      </c>
      <c r="D22" s="155">
        <f t="shared" si="4"/>
        <v>964398</v>
      </c>
      <c r="E22" s="155">
        <f t="shared" si="4"/>
        <v>907621</v>
      </c>
      <c r="F22" s="155">
        <f t="shared" si="4"/>
        <v>990419</v>
      </c>
      <c r="G22" s="107">
        <f t="shared" si="4"/>
        <v>1005390</v>
      </c>
      <c r="H22" s="107">
        <f t="shared" si="4"/>
        <v>1029365</v>
      </c>
      <c r="I22" s="107">
        <f t="shared" si="4"/>
        <v>1043683</v>
      </c>
      <c r="J22" s="107">
        <f t="shared" si="4"/>
        <v>1070372</v>
      </c>
      <c r="K22" s="108">
        <f t="shared" si="4"/>
        <v>1111062</v>
      </c>
      <c r="L22" s="108">
        <f t="shared" si="4"/>
        <v>889137</v>
      </c>
      <c r="M22" s="108">
        <f t="shared" si="4"/>
        <v>900420</v>
      </c>
      <c r="N22" s="108">
        <f t="shared" si="4"/>
        <v>940146</v>
      </c>
      <c r="O22" s="286">
        <f t="shared" si="4"/>
        <v>978460</v>
      </c>
      <c r="P22" s="286">
        <f t="shared" si="4"/>
        <v>0</v>
      </c>
      <c r="Q22" s="286">
        <f t="shared" si="4"/>
        <v>0</v>
      </c>
      <c r="R22" s="286">
        <f t="shared" si="4"/>
        <v>0</v>
      </c>
      <c r="S22" s="88"/>
    </row>
    <row r="23" spans="2:19" ht="13.5" thickTop="1">
      <c r="B23" s="72"/>
      <c r="C23" s="73"/>
      <c r="D23" s="73"/>
      <c r="E23" s="73"/>
      <c r="F23" s="73"/>
      <c r="G23" s="74"/>
      <c r="H23" s="74"/>
      <c r="I23" s="74"/>
      <c r="J23" s="74"/>
      <c r="K23" s="75"/>
      <c r="L23" s="75"/>
      <c r="M23" s="75"/>
      <c r="N23" s="75"/>
      <c r="O23" s="268"/>
      <c r="P23" s="268"/>
      <c r="Q23" s="268"/>
      <c r="R23" s="268"/>
      <c r="S23" s="88"/>
    </row>
    <row r="24" spans="2:19">
      <c r="B24" s="68"/>
      <c r="C24" s="69"/>
      <c r="D24" s="69"/>
      <c r="E24" s="69"/>
      <c r="F24" s="69"/>
      <c r="G24" s="70"/>
      <c r="H24" s="70"/>
      <c r="I24" s="70"/>
      <c r="J24" s="70"/>
      <c r="K24" s="71"/>
      <c r="L24" s="71"/>
      <c r="M24" s="71"/>
      <c r="N24" s="71"/>
      <c r="O24" s="267"/>
      <c r="P24" s="267"/>
      <c r="Q24" s="267"/>
      <c r="R24" s="267"/>
      <c r="S24" s="88"/>
    </row>
    <row r="25" spans="2:19">
      <c r="B25" s="72" t="s">
        <v>60</v>
      </c>
      <c r="C25" s="73">
        <v>27124</v>
      </c>
      <c r="D25" s="73">
        <v>27124</v>
      </c>
      <c r="E25" s="73">
        <v>27124</v>
      </c>
      <c r="F25" s="73">
        <v>33905</v>
      </c>
      <c r="G25" s="74">
        <v>33905</v>
      </c>
      <c r="H25" s="74">
        <v>33905</v>
      </c>
      <c r="I25" s="74">
        <v>33905</v>
      </c>
      <c r="J25" s="74">
        <v>33905</v>
      </c>
      <c r="K25" s="75">
        <v>33905</v>
      </c>
      <c r="L25" s="75">
        <v>33905</v>
      </c>
      <c r="M25" s="75">
        <v>33905</v>
      </c>
      <c r="N25" s="75">
        <v>33905</v>
      </c>
      <c r="O25" s="268">
        <v>33905</v>
      </c>
      <c r="P25" s="268"/>
      <c r="Q25" s="268"/>
      <c r="R25" s="268"/>
      <c r="S25" s="88"/>
    </row>
    <row r="26" spans="2:19">
      <c r="B26" s="72" t="s">
        <v>117</v>
      </c>
      <c r="C26" s="73">
        <v>451252</v>
      </c>
      <c r="D26" s="73">
        <v>451252</v>
      </c>
      <c r="E26" s="73">
        <v>451252</v>
      </c>
      <c r="F26" s="73">
        <v>578307</v>
      </c>
      <c r="G26" s="74">
        <v>578307</v>
      </c>
      <c r="H26" s="74">
        <v>578307</v>
      </c>
      <c r="I26" s="74">
        <v>578307</v>
      </c>
      <c r="J26" s="74">
        <v>578307</v>
      </c>
      <c r="K26" s="75">
        <v>578307</v>
      </c>
      <c r="L26" s="75">
        <v>578307</v>
      </c>
      <c r="M26" s="75">
        <v>578307</v>
      </c>
      <c r="N26" s="75">
        <v>578307</v>
      </c>
      <c r="O26" s="268">
        <v>578307</v>
      </c>
      <c r="P26" s="268"/>
      <c r="Q26" s="268"/>
      <c r="R26" s="268"/>
      <c r="S26" s="88"/>
    </row>
    <row r="27" spans="2:19">
      <c r="B27" s="72" t="s">
        <v>118</v>
      </c>
      <c r="C27" s="73">
        <v>20529</v>
      </c>
      <c r="D27" s="73">
        <v>20529</v>
      </c>
      <c r="E27" s="73">
        <v>20529</v>
      </c>
      <c r="F27" s="73">
        <v>20529</v>
      </c>
      <c r="G27" s="74">
        <v>20529</v>
      </c>
      <c r="H27" s="74">
        <v>20529</v>
      </c>
      <c r="I27" s="74">
        <v>20529</v>
      </c>
      <c r="J27" s="74">
        <v>20628</v>
      </c>
      <c r="K27" s="75">
        <v>20699</v>
      </c>
      <c r="L27" s="75">
        <v>20769</v>
      </c>
      <c r="M27" s="75">
        <v>20862</v>
      </c>
      <c r="N27" s="75">
        <v>20950</v>
      </c>
      <c r="O27" s="268">
        <v>21038</v>
      </c>
      <c r="P27" s="268"/>
      <c r="Q27" s="268"/>
      <c r="R27" s="268"/>
      <c r="S27" s="88"/>
    </row>
    <row r="28" spans="2:19">
      <c r="B28" s="72" t="s">
        <v>119</v>
      </c>
      <c r="C28" s="73">
        <v>-92501</v>
      </c>
      <c r="D28" s="73">
        <v>-104141</v>
      </c>
      <c r="E28" s="73">
        <v>-168502</v>
      </c>
      <c r="F28" s="73">
        <v>-205841</v>
      </c>
      <c r="G28" s="74">
        <v>-201918</v>
      </c>
      <c r="H28" s="74">
        <v>-198739</v>
      </c>
      <c r="I28" s="74">
        <v>-224108</v>
      </c>
      <c r="J28" s="74">
        <v>-218609</v>
      </c>
      <c r="K28" s="75">
        <v>-233094</v>
      </c>
      <c r="L28" s="75">
        <v>-232180</v>
      </c>
      <c r="M28" s="75">
        <v>-239224</v>
      </c>
      <c r="N28" s="75">
        <v>-230765</v>
      </c>
      <c r="O28" s="268">
        <v>-254967</v>
      </c>
      <c r="P28" s="268"/>
      <c r="Q28" s="268"/>
      <c r="R28" s="268"/>
      <c r="S28" s="88"/>
    </row>
    <row r="29" spans="2:19">
      <c r="B29" s="80" t="s">
        <v>61</v>
      </c>
      <c r="C29" s="81">
        <f t="shared" ref="C29:N29" si="5">SUM(C25:C28)</f>
        <v>406404</v>
      </c>
      <c r="D29" s="81">
        <f t="shared" si="5"/>
        <v>394764</v>
      </c>
      <c r="E29" s="81">
        <f t="shared" si="5"/>
        <v>330403</v>
      </c>
      <c r="F29" s="81">
        <f t="shared" si="5"/>
        <v>426900</v>
      </c>
      <c r="G29" s="82">
        <f t="shared" si="5"/>
        <v>430823</v>
      </c>
      <c r="H29" s="82">
        <f t="shared" si="5"/>
        <v>434002</v>
      </c>
      <c r="I29" s="82">
        <f t="shared" si="5"/>
        <v>408633</v>
      </c>
      <c r="J29" s="82">
        <f t="shared" si="5"/>
        <v>414231</v>
      </c>
      <c r="K29" s="83">
        <f t="shared" si="5"/>
        <v>399817</v>
      </c>
      <c r="L29" s="83">
        <f t="shared" si="5"/>
        <v>400801</v>
      </c>
      <c r="M29" s="83">
        <f t="shared" si="5"/>
        <v>393850</v>
      </c>
      <c r="N29" s="83">
        <f t="shared" si="5"/>
        <v>402397</v>
      </c>
      <c r="O29" s="269">
        <f>SUM(O25:O28)</f>
        <v>378283</v>
      </c>
      <c r="P29" s="269">
        <f t="shared" ref="P29:R29" si="6">SUM(P25:P28)</f>
        <v>0</v>
      </c>
      <c r="Q29" s="269">
        <f t="shared" si="6"/>
        <v>0</v>
      </c>
      <c r="R29" s="269">
        <f t="shared" si="6"/>
        <v>0</v>
      </c>
      <c r="S29" s="88"/>
    </row>
    <row r="30" spans="2:19">
      <c r="B30" s="72"/>
      <c r="C30" s="73"/>
      <c r="D30" s="73"/>
      <c r="E30" s="73"/>
      <c r="F30" s="73"/>
      <c r="G30" s="74"/>
      <c r="H30" s="74"/>
      <c r="I30" s="74"/>
      <c r="J30" s="74"/>
      <c r="K30" s="75"/>
      <c r="L30" s="75"/>
      <c r="M30" s="75"/>
      <c r="N30" s="75"/>
      <c r="O30" s="268"/>
      <c r="P30" s="268"/>
      <c r="Q30" s="268"/>
      <c r="R30" s="268"/>
      <c r="S30" s="88"/>
    </row>
    <row r="31" spans="2:19">
      <c r="B31" s="72" t="s">
        <v>120</v>
      </c>
      <c r="C31" s="73">
        <v>0</v>
      </c>
      <c r="D31" s="73">
        <v>150000</v>
      </c>
      <c r="E31" s="73">
        <v>150000</v>
      </c>
      <c r="F31" s="73">
        <v>150000</v>
      </c>
      <c r="G31" s="74">
        <v>150000</v>
      </c>
      <c r="H31" s="74">
        <v>150000</v>
      </c>
      <c r="I31" s="74">
        <v>150000</v>
      </c>
      <c r="J31" s="74">
        <v>125000</v>
      </c>
      <c r="K31" s="75">
        <v>125000</v>
      </c>
      <c r="L31" s="75">
        <v>100000</v>
      </c>
      <c r="M31" s="75">
        <v>100000</v>
      </c>
      <c r="N31" s="75">
        <v>196000</v>
      </c>
      <c r="O31" s="268">
        <v>196000</v>
      </c>
      <c r="P31" s="268"/>
      <c r="Q31" s="268"/>
      <c r="R31" s="268"/>
      <c r="S31" s="88"/>
    </row>
    <row r="32" spans="2:19">
      <c r="B32" s="72" t="s">
        <v>121</v>
      </c>
      <c r="C32" s="73">
        <v>128007</v>
      </c>
      <c r="D32" s="73">
        <v>99820</v>
      </c>
      <c r="E32" s="73">
        <v>95593</v>
      </c>
      <c r="F32" s="73">
        <v>116690</v>
      </c>
      <c r="G32" s="74">
        <v>115818</v>
      </c>
      <c r="H32" s="74">
        <v>113744</v>
      </c>
      <c r="I32" s="74">
        <v>109660</v>
      </c>
      <c r="J32" s="74">
        <v>85986</v>
      </c>
      <c r="K32" s="75">
        <v>82136</v>
      </c>
      <c r="L32" s="75">
        <v>59903</v>
      </c>
      <c r="M32" s="75">
        <v>38134</v>
      </c>
      <c r="N32" s="75">
        <v>39658</v>
      </c>
      <c r="O32" s="268">
        <v>73600</v>
      </c>
      <c r="P32" s="268"/>
      <c r="Q32" s="268"/>
      <c r="R32" s="268"/>
      <c r="S32" s="88"/>
    </row>
    <row r="33" spans="1:19">
      <c r="B33" s="72" t="s">
        <v>62</v>
      </c>
      <c r="C33" s="73">
        <v>18775</v>
      </c>
      <c r="D33" s="73">
        <v>18775</v>
      </c>
      <c r="E33" s="73">
        <v>18775</v>
      </c>
      <c r="F33" s="73">
        <v>0</v>
      </c>
      <c r="G33" s="74">
        <v>0</v>
      </c>
      <c r="H33" s="74">
        <v>0</v>
      </c>
      <c r="I33" s="74">
        <v>0</v>
      </c>
      <c r="J33" s="74">
        <v>0</v>
      </c>
      <c r="K33" s="75">
        <v>0</v>
      </c>
      <c r="L33" s="75">
        <v>0</v>
      </c>
      <c r="M33" s="75">
        <v>0</v>
      </c>
      <c r="N33" s="75">
        <v>0</v>
      </c>
      <c r="O33" s="268">
        <v>0</v>
      </c>
      <c r="P33" s="268"/>
      <c r="Q33" s="268"/>
      <c r="R33" s="268"/>
      <c r="S33" s="88"/>
    </row>
    <row r="34" spans="1:19">
      <c r="B34" s="72" t="s">
        <v>122</v>
      </c>
      <c r="C34" s="73">
        <v>6582</v>
      </c>
      <c r="D34" s="73">
        <v>10608</v>
      </c>
      <c r="E34" s="73">
        <v>3453</v>
      </c>
      <c r="F34" s="73">
        <v>15003</v>
      </c>
      <c r="G34" s="74">
        <v>14658</v>
      </c>
      <c r="H34" s="74">
        <v>14490</v>
      </c>
      <c r="I34" s="74">
        <v>13551</v>
      </c>
      <c r="J34" s="74">
        <v>4956</v>
      </c>
      <c r="K34" s="75">
        <v>3433</v>
      </c>
      <c r="L34" s="75">
        <v>5608</v>
      </c>
      <c r="M34" s="75">
        <v>8050</v>
      </c>
      <c r="N34" s="75">
        <v>4261</v>
      </c>
      <c r="O34" s="268">
        <v>3134</v>
      </c>
      <c r="P34" s="268"/>
      <c r="Q34" s="268"/>
      <c r="R34" s="268"/>
      <c r="S34" s="88"/>
    </row>
    <row r="35" spans="1:19">
      <c r="B35" s="80" t="s">
        <v>63</v>
      </c>
      <c r="C35" s="81">
        <f>SUM(C31:C34)</f>
        <v>153364</v>
      </c>
      <c r="D35" s="81">
        <f t="shared" ref="D35:F35" si="7">SUM(D31:D34)</f>
        <v>279203</v>
      </c>
      <c r="E35" s="81">
        <f t="shared" si="7"/>
        <v>267821</v>
      </c>
      <c r="F35" s="81">
        <f t="shared" si="7"/>
        <v>281693</v>
      </c>
      <c r="G35" s="82">
        <f t="shared" ref="G35" si="8">SUM(G31:G34)</f>
        <v>280476</v>
      </c>
      <c r="H35" s="82">
        <f t="shared" ref="H35" si="9">SUM(H31:H34)</f>
        <v>278234</v>
      </c>
      <c r="I35" s="82">
        <f t="shared" ref="I35" si="10">SUM(I31:I34)</f>
        <v>273211</v>
      </c>
      <c r="J35" s="82">
        <f t="shared" ref="J35" si="11">SUM(J31:J34)</f>
        <v>215942</v>
      </c>
      <c r="K35" s="83">
        <f t="shared" ref="K35" si="12">SUM(K31:K34)</f>
        <v>210569</v>
      </c>
      <c r="L35" s="83">
        <f t="shared" ref="L35" si="13">SUM(L31:L34)</f>
        <v>165511</v>
      </c>
      <c r="M35" s="83">
        <f t="shared" ref="M35" si="14">SUM(M31:M34)</f>
        <v>146184</v>
      </c>
      <c r="N35" s="83">
        <f t="shared" ref="N35" si="15">SUM(N31:N34)</f>
        <v>239919</v>
      </c>
      <c r="O35" s="269">
        <f t="shared" ref="O35" si="16">SUM(O31:O34)</f>
        <v>272734</v>
      </c>
      <c r="P35" s="269">
        <f t="shared" ref="P35" si="17">SUM(P31:P34)</f>
        <v>0</v>
      </c>
      <c r="Q35" s="269">
        <f t="shared" ref="Q35" si="18">SUM(Q31:Q34)</f>
        <v>0</v>
      </c>
      <c r="R35" s="269">
        <f t="shared" ref="R35" si="19">SUM(R31:R34)</f>
        <v>0</v>
      </c>
      <c r="S35" s="88"/>
    </row>
    <row r="36" spans="1:19">
      <c r="B36" s="167"/>
      <c r="C36" s="156"/>
      <c r="D36" s="69"/>
      <c r="E36" s="156"/>
      <c r="F36" s="69"/>
      <c r="G36" s="93"/>
      <c r="H36" s="70"/>
      <c r="I36" s="93"/>
      <c r="J36" s="70"/>
      <c r="K36" s="177"/>
      <c r="L36" s="177"/>
      <c r="M36" s="177"/>
      <c r="N36" s="177"/>
      <c r="O36" s="287"/>
      <c r="P36" s="287"/>
      <c r="Q36" s="287"/>
      <c r="R36" s="287"/>
      <c r="S36" s="88"/>
    </row>
    <row r="37" spans="1:19">
      <c r="B37" s="143" t="s">
        <v>123</v>
      </c>
      <c r="C37" s="157">
        <v>182256</v>
      </c>
      <c r="D37" s="114">
        <v>66756</v>
      </c>
      <c r="E37" s="157">
        <v>123894</v>
      </c>
      <c r="F37" s="114">
        <v>79457</v>
      </c>
      <c r="G37" s="115">
        <v>127658</v>
      </c>
      <c r="H37" s="116">
        <v>165423</v>
      </c>
      <c r="I37" s="115">
        <v>188524</v>
      </c>
      <c r="J37" s="116">
        <v>203691</v>
      </c>
      <c r="K37" s="126">
        <v>230178</v>
      </c>
      <c r="L37" s="126">
        <v>132231</v>
      </c>
      <c r="M37" s="126">
        <v>129959</v>
      </c>
      <c r="N37" s="126">
        <v>19521</v>
      </c>
      <c r="O37" s="274">
        <v>59285</v>
      </c>
      <c r="P37" s="274"/>
      <c r="Q37" s="274"/>
      <c r="R37" s="274"/>
      <c r="S37" s="87"/>
    </row>
    <row r="38" spans="1:19">
      <c r="B38" s="143" t="s">
        <v>124</v>
      </c>
      <c r="C38" s="73">
        <v>18454</v>
      </c>
      <c r="D38" s="73">
        <v>19557</v>
      </c>
      <c r="E38" s="158">
        <v>17648</v>
      </c>
      <c r="F38" s="73">
        <v>11677</v>
      </c>
      <c r="G38" s="117">
        <v>20149</v>
      </c>
      <c r="H38" s="74">
        <v>11110</v>
      </c>
      <c r="I38" s="117">
        <v>11272</v>
      </c>
      <c r="J38" s="74">
        <v>11693</v>
      </c>
      <c r="K38" s="75">
        <v>27294</v>
      </c>
      <c r="L38" s="75">
        <v>21035</v>
      </c>
      <c r="M38" s="75">
        <v>25740</v>
      </c>
      <c r="N38" s="75">
        <v>14339</v>
      </c>
      <c r="O38" s="268">
        <v>15290</v>
      </c>
      <c r="P38" s="268"/>
      <c r="Q38" s="268"/>
      <c r="R38" s="268"/>
      <c r="S38" s="95"/>
    </row>
    <row r="39" spans="1:19">
      <c r="B39" s="143" t="s">
        <v>64</v>
      </c>
      <c r="C39" s="157">
        <v>83352</v>
      </c>
      <c r="D39" s="114">
        <v>90239</v>
      </c>
      <c r="E39" s="157">
        <v>89627</v>
      </c>
      <c r="F39" s="114">
        <v>100209</v>
      </c>
      <c r="G39" s="115">
        <v>74668</v>
      </c>
      <c r="H39" s="116">
        <v>69039</v>
      </c>
      <c r="I39" s="115">
        <v>63943</v>
      </c>
      <c r="J39" s="116">
        <v>89272</v>
      </c>
      <c r="K39" s="126">
        <v>60989</v>
      </c>
      <c r="L39" s="126">
        <v>54031</v>
      </c>
      <c r="M39" s="126">
        <v>64983</v>
      </c>
      <c r="N39" s="126">
        <v>95992</v>
      </c>
      <c r="O39" s="274">
        <v>80154</v>
      </c>
      <c r="P39" s="274"/>
      <c r="Q39" s="274"/>
      <c r="R39" s="274"/>
      <c r="S39" s="87"/>
    </row>
    <row r="40" spans="1:19">
      <c r="B40" s="143" t="s">
        <v>125</v>
      </c>
      <c r="C40" s="157">
        <v>2689</v>
      </c>
      <c r="D40" s="114">
        <v>2233</v>
      </c>
      <c r="E40" s="157">
        <v>1053</v>
      </c>
      <c r="F40" s="114">
        <v>702</v>
      </c>
      <c r="G40" s="115">
        <v>273</v>
      </c>
      <c r="H40" s="116">
        <v>511</v>
      </c>
      <c r="I40" s="115">
        <v>415</v>
      </c>
      <c r="J40" s="116">
        <v>3342</v>
      </c>
      <c r="K40" s="126">
        <v>2699</v>
      </c>
      <c r="L40" s="126">
        <v>1479</v>
      </c>
      <c r="M40" s="126">
        <v>1669</v>
      </c>
      <c r="N40" s="126">
        <v>2758</v>
      </c>
      <c r="O40" s="274">
        <v>1086</v>
      </c>
      <c r="P40" s="274"/>
      <c r="Q40" s="274"/>
      <c r="R40" s="274"/>
      <c r="S40" s="87"/>
    </row>
    <row r="41" spans="1:19">
      <c r="B41" s="143" t="s">
        <v>65</v>
      </c>
      <c r="C41" s="158">
        <v>10109</v>
      </c>
      <c r="D41" s="73">
        <v>19783</v>
      </c>
      <c r="E41" s="158">
        <v>10492</v>
      </c>
      <c r="F41" s="73">
        <v>16647</v>
      </c>
      <c r="G41" s="117">
        <v>10679</v>
      </c>
      <c r="H41" s="74">
        <v>14285</v>
      </c>
      <c r="I41" s="117">
        <v>15043</v>
      </c>
      <c r="J41" s="74">
        <v>14541</v>
      </c>
      <c r="K41" s="178">
        <v>59987</v>
      </c>
      <c r="L41" s="178">
        <v>12064</v>
      </c>
      <c r="M41" s="178">
        <v>12609</v>
      </c>
      <c r="N41" s="75">
        <v>19584</v>
      </c>
      <c r="O41" s="288">
        <v>12768</v>
      </c>
      <c r="P41" s="288"/>
      <c r="Q41" s="288"/>
      <c r="R41" s="268"/>
      <c r="S41" s="87"/>
    </row>
    <row r="42" spans="1:19">
      <c r="B42" s="143" t="s">
        <v>126</v>
      </c>
      <c r="C42" s="120">
        <f>36027</f>
        <v>36027</v>
      </c>
      <c r="D42" s="120">
        <f>29019</f>
        <v>29019</v>
      </c>
      <c r="E42" s="159">
        <f>27890</f>
        <v>27890</v>
      </c>
      <c r="F42" s="120">
        <f>2701</f>
        <v>2701</v>
      </c>
      <c r="G42" s="121">
        <f>2031</f>
        <v>2031</v>
      </c>
      <c r="H42" s="122">
        <f>1360</f>
        <v>1360</v>
      </c>
      <c r="I42" s="121">
        <f>28513</f>
        <v>28513</v>
      </c>
      <c r="J42" s="122">
        <f>45993</f>
        <v>45993</v>
      </c>
      <c r="K42" s="178">
        <f>44572</f>
        <v>44572</v>
      </c>
      <c r="L42" s="178">
        <f>42160</f>
        <v>42160</v>
      </c>
      <c r="M42" s="178">
        <f>58364</f>
        <v>58364</v>
      </c>
      <c r="N42" s="178">
        <f>71995</f>
        <v>71995</v>
      </c>
      <c r="O42" s="288">
        <v>90786</v>
      </c>
      <c r="P42" s="288"/>
      <c r="Q42" s="288"/>
      <c r="R42" s="288"/>
      <c r="S42" s="87"/>
    </row>
    <row r="43" spans="1:19">
      <c r="B43" s="143" t="s">
        <v>127</v>
      </c>
      <c r="C43" s="120">
        <f>120656-36027</f>
        <v>84629</v>
      </c>
      <c r="D43" s="120">
        <f>91863-29019</f>
        <v>62844</v>
      </c>
      <c r="E43" s="159">
        <f>66683-27890</f>
        <v>38793</v>
      </c>
      <c r="F43" s="120">
        <f>54696-2701</f>
        <v>51995</v>
      </c>
      <c r="G43" s="121">
        <f>59927-2031</f>
        <v>57896</v>
      </c>
      <c r="H43" s="122">
        <f>56024-1360</f>
        <v>54664</v>
      </c>
      <c r="I43" s="121">
        <f>81905-28513</f>
        <v>53392</v>
      </c>
      <c r="J43" s="122">
        <f>117660-45993</f>
        <v>71667</v>
      </c>
      <c r="K43" s="178">
        <f>119529-44572</f>
        <v>74957</v>
      </c>
      <c r="L43" s="178">
        <f>101985-42160</f>
        <v>59825</v>
      </c>
      <c r="M43" s="178">
        <f>125426-58364</f>
        <v>67062</v>
      </c>
      <c r="N43" s="178">
        <f>145636-71995</f>
        <v>73641</v>
      </c>
      <c r="O43" s="288">
        <v>68074</v>
      </c>
      <c r="P43" s="288"/>
      <c r="Q43" s="288"/>
      <c r="R43" s="288"/>
      <c r="S43" s="87"/>
    </row>
    <row r="44" spans="1:19">
      <c r="B44" s="168" t="s">
        <v>67</v>
      </c>
      <c r="C44" s="120">
        <v>0</v>
      </c>
      <c r="D44" s="120">
        <v>0</v>
      </c>
      <c r="E44" s="159">
        <v>0</v>
      </c>
      <c r="F44" s="120">
        <v>18438</v>
      </c>
      <c r="G44" s="121">
        <v>737</v>
      </c>
      <c r="H44" s="122">
        <v>737</v>
      </c>
      <c r="I44" s="121">
        <v>737</v>
      </c>
      <c r="J44" s="122">
        <v>0</v>
      </c>
      <c r="K44" s="179">
        <v>0</v>
      </c>
      <c r="L44" s="179">
        <v>0</v>
      </c>
      <c r="M44" s="179">
        <v>0</v>
      </c>
      <c r="N44" s="179">
        <v>0</v>
      </c>
      <c r="O44" s="289">
        <v>0</v>
      </c>
      <c r="P44" s="289"/>
      <c r="Q44" s="289"/>
      <c r="R44" s="289"/>
      <c r="S44" s="87"/>
    </row>
    <row r="45" spans="1:19">
      <c r="B45" s="80" t="s">
        <v>66</v>
      </c>
      <c r="C45" s="81">
        <f t="shared" ref="C45:J45" si="20">SUM(C37:C44)</f>
        <v>417516</v>
      </c>
      <c r="D45" s="81">
        <f t="shared" si="20"/>
        <v>290431</v>
      </c>
      <c r="E45" s="81">
        <f t="shared" si="20"/>
        <v>309397</v>
      </c>
      <c r="F45" s="81">
        <f t="shared" si="20"/>
        <v>281826</v>
      </c>
      <c r="G45" s="82">
        <f t="shared" si="20"/>
        <v>294091</v>
      </c>
      <c r="H45" s="82">
        <f t="shared" si="20"/>
        <v>317129</v>
      </c>
      <c r="I45" s="82">
        <f t="shared" si="20"/>
        <v>361839</v>
      </c>
      <c r="J45" s="82">
        <f t="shared" si="20"/>
        <v>440199</v>
      </c>
      <c r="K45" s="83">
        <f>SUM(K37:K44)</f>
        <v>500676</v>
      </c>
      <c r="L45" s="83">
        <f t="shared" ref="L45:N45" si="21">SUM(L37:L44)</f>
        <v>322825</v>
      </c>
      <c r="M45" s="83">
        <f t="shared" si="21"/>
        <v>360386</v>
      </c>
      <c r="N45" s="83">
        <f t="shared" si="21"/>
        <v>297830</v>
      </c>
      <c r="O45" s="269">
        <f>SUM(O37:O44)</f>
        <v>327443</v>
      </c>
      <c r="P45" s="269">
        <f t="shared" ref="P45:R45" si="22">SUM(P37:P44)</f>
        <v>0</v>
      </c>
      <c r="Q45" s="269">
        <f t="shared" si="22"/>
        <v>0</v>
      </c>
      <c r="R45" s="269">
        <f t="shared" si="22"/>
        <v>0</v>
      </c>
      <c r="S45" s="87"/>
    </row>
    <row r="46" spans="1:19">
      <c r="B46" s="143"/>
      <c r="C46" s="120"/>
      <c r="D46" s="120"/>
      <c r="E46" s="159"/>
      <c r="F46" s="120"/>
      <c r="G46" s="121"/>
      <c r="H46" s="122"/>
      <c r="I46" s="121"/>
      <c r="J46" s="122"/>
      <c r="K46" s="118"/>
      <c r="L46" s="178"/>
      <c r="M46" s="118"/>
      <c r="N46" s="187"/>
      <c r="O46" s="279"/>
      <c r="P46" s="288"/>
      <c r="Q46" s="279"/>
      <c r="R46" s="290"/>
      <c r="S46" s="87"/>
    </row>
    <row r="47" spans="1:19" ht="13.5" thickBot="1">
      <c r="B47" s="171" t="s">
        <v>68</v>
      </c>
      <c r="C47" s="191">
        <f t="shared" ref="C47:R47" si="23">C29+C35+C45</f>
        <v>977284</v>
      </c>
      <c r="D47" s="191">
        <f t="shared" si="23"/>
        <v>964398</v>
      </c>
      <c r="E47" s="191">
        <f t="shared" si="23"/>
        <v>907621</v>
      </c>
      <c r="F47" s="191">
        <f t="shared" si="23"/>
        <v>990419</v>
      </c>
      <c r="G47" s="192">
        <f t="shared" si="23"/>
        <v>1005390</v>
      </c>
      <c r="H47" s="193">
        <f t="shared" si="23"/>
        <v>1029365</v>
      </c>
      <c r="I47" s="193">
        <f t="shared" si="23"/>
        <v>1043683</v>
      </c>
      <c r="J47" s="193">
        <f t="shared" si="23"/>
        <v>1070372</v>
      </c>
      <c r="K47" s="194">
        <f t="shared" si="23"/>
        <v>1111062</v>
      </c>
      <c r="L47" s="195">
        <f t="shared" si="23"/>
        <v>889137</v>
      </c>
      <c r="M47" s="194">
        <f t="shared" si="23"/>
        <v>900420</v>
      </c>
      <c r="N47" s="196">
        <f t="shared" si="23"/>
        <v>940146</v>
      </c>
      <c r="O47" s="291">
        <f t="shared" si="23"/>
        <v>978460</v>
      </c>
      <c r="P47" s="292">
        <f t="shared" si="23"/>
        <v>0</v>
      </c>
      <c r="Q47" s="291">
        <f t="shared" si="23"/>
        <v>0</v>
      </c>
      <c r="R47" s="293">
        <f t="shared" si="23"/>
        <v>0</v>
      </c>
      <c r="S47" s="87"/>
    </row>
    <row r="48" spans="1:19" ht="13.5" thickTop="1">
      <c r="A48" s="87"/>
      <c r="B48" s="87"/>
      <c r="C48" s="87"/>
      <c r="D48" s="87"/>
      <c r="E48" s="87"/>
      <c r="F48" s="87"/>
      <c r="G48" s="87"/>
      <c r="H48" s="87"/>
      <c r="I48" s="87"/>
      <c r="J48" s="87"/>
      <c r="K48" s="87"/>
      <c r="L48" s="87"/>
      <c r="M48" s="87"/>
      <c r="N48" s="87"/>
      <c r="O48" s="87"/>
      <c r="P48" s="87"/>
      <c r="Q48" s="87"/>
      <c r="R48" s="87"/>
      <c r="S48" s="87"/>
    </row>
    <row r="49" spans="2:19">
      <c r="B49" s="172" t="s">
        <v>69</v>
      </c>
      <c r="C49" s="160">
        <f t="shared" ref="C49:R49" si="24">C29/C47</f>
        <v>0.41585045902726331</v>
      </c>
      <c r="D49" s="161">
        <f t="shared" si="24"/>
        <v>0.40933722384326804</v>
      </c>
      <c r="E49" s="160">
        <f t="shared" si="24"/>
        <v>0.36403190318425865</v>
      </c>
      <c r="F49" s="161">
        <f t="shared" si="24"/>
        <v>0.43102969551270726</v>
      </c>
      <c r="G49" s="123">
        <f t="shared" si="24"/>
        <v>0.42851331324162761</v>
      </c>
      <c r="H49" s="124">
        <f t="shared" si="24"/>
        <v>0.42162109650124108</v>
      </c>
      <c r="I49" s="123">
        <f t="shared" si="24"/>
        <v>0.39152980358978734</v>
      </c>
      <c r="J49" s="124">
        <f t="shared" si="24"/>
        <v>0.38699723086926791</v>
      </c>
      <c r="K49" s="180">
        <f t="shared" si="24"/>
        <v>0.3598512054232797</v>
      </c>
      <c r="L49" s="180">
        <f t="shared" si="24"/>
        <v>0.45077530234373331</v>
      </c>
      <c r="M49" s="180">
        <f t="shared" si="24"/>
        <v>0.43740698785011439</v>
      </c>
      <c r="N49" s="180">
        <f t="shared" si="24"/>
        <v>0.42801543590038144</v>
      </c>
      <c r="O49" s="294">
        <f t="shared" si="24"/>
        <v>0.38661059215501914</v>
      </c>
      <c r="P49" s="294" t="e">
        <f t="shared" si="24"/>
        <v>#DIV/0!</v>
      </c>
      <c r="Q49" s="294" t="e">
        <f t="shared" si="24"/>
        <v>#DIV/0!</v>
      </c>
      <c r="R49" s="294" t="e">
        <f t="shared" si="24"/>
        <v>#DIV/0!</v>
      </c>
      <c r="S49" s="87"/>
    </row>
    <row r="50" spans="2:19">
      <c r="B50" s="173" t="s">
        <v>102</v>
      </c>
      <c r="C50" s="206">
        <f>36027</f>
        <v>36027</v>
      </c>
      <c r="D50" s="207">
        <v>29019</v>
      </c>
      <c r="E50" s="206">
        <v>27890</v>
      </c>
      <c r="F50" s="207">
        <v>0</v>
      </c>
      <c r="G50" s="208">
        <v>0</v>
      </c>
      <c r="H50" s="209">
        <v>0</v>
      </c>
      <c r="I50" s="208">
        <v>0</v>
      </c>
      <c r="J50" s="209">
        <v>22401</v>
      </c>
      <c r="K50" s="201">
        <v>21233</v>
      </c>
      <c r="L50" s="201">
        <v>32986</v>
      </c>
      <c r="M50" s="201">
        <v>56399</v>
      </c>
      <c r="N50" s="201">
        <v>69267</v>
      </c>
      <c r="O50" s="295">
        <v>68540</v>
      </c>
      <c r="P50" s="295"/>
      <c r="Q50" s="295"/>
      <c r="R50" s="295"/>
      <c r="S50" s="87"/>
    </row>
    <row r="51" spans="2:19" ht="23.5">
      <c r="B51" s="210" t="s">
        <v>103</v>
      </c>
      <c r="C51" s="197">
        <f t="shared" ref="C51:R51" si="25">SUM(C20-C18-C19)-SUM(C45-C44-C37)+C50</f>
        <v>138782</v>
      </c>
      <c r="D51" s="198">
        <f t="shared" si="25"/>
        <v>172661</v>
      </c>
      <c r="E51" s="197">
        <f t="shared" si="25"/>
        <v>181789</v>
      </c>
      <c r="F51" s="198">
        <f t="shared" si="25"/>
        <v>132274</v>
      </c>
      <c r="G51" s="199">
        <f t="shared" si="25"/>
        <v>221378</v>
      </c>
      <c r="H51" s="200">
        <f t="shared" si="25"/>
        <v>243322</v>
      </c>
      <c r="I51" s="199">
        <f t="shared" si="25"/>
        <v>234644</v>
      </c>
      <c r="J51" s="200">
        <f t="shared" si="25"/>
        <v>246855</v>
      </c>
      <c r="K51" s="201">
        <f t="shared" si="25"/>
        <v>292979</v>
      </c>
      <c r="L51" s="201">
        <f t="shared" si="25"/>
        <v>171215</v>
      </c>
      <c r="M51" s="201">
        <f t="shared" si="25"/>
        <v>162676</v>
      </c>
      <c r="N51" s="201">
        <f t="shared" si="25"/>
        <v>138144</v>
      </c>
      <c r="O51" s="295">
        <f>SUM(O20-O18-O19)-SUM(O45-O44-O37)+O50</f>
        <v>120458</v>
      </c>
      <c r="P51" s="295">
        <f t="shared" si="25"/>
        <v>0</v>
      </c>
      <c r="Q51" s="295">
        <f t="shared" si="25"/>
        <v>0</v>
      </c>
      <c r="R51" s="295">
        <f t="shared" si="25"/>
        <v>0</v>
      </c>
      <c r="S51" s="87"/>
    </row>
    <row r="52" spans="2:19">
      <c r="B52" s="173" t="s">
        <v>70</v>
      </c>
      <c r="C52" s="197">
        <f t="shared" ref="C52:R52" si="26">C37+C31-C19</f>
        <v>129345</v>
      </c>
      <c r="D52" s="198">
        <f t="shared" si="26"/>
        <v>199070</v>
      </c>
      <c r="E52" s="197">
        <f t="shared" si="26"/>
        <v>254699</v>
      </c>
      <c r="F52" s="198">
        <f t="shared" si="26"/>
        <v>127983</v>
      </c>
      <c r="G52" s="199">
        <f t="shared" si="26"/>
        <v>202685</v>
      </c>
      <c r="H52" s="200">
        <f t="shared" si="26"/>
        <v>211833</v>
      </c>
      <c r="I52" s="199">
        <f t="shared" si="26"/>
        <v>209266</v>
      </c>
      <c r="J52" s="200">
        <f t="shared" si="26"/>
        <v>215058</v>
      </c>
      <c r="K52" s="201">
        <f t="shared" si="26"/>
        <v>260803</v>
      </c>
      <c r="L52" s="201">
        <f t="shared" si="26"/>
        <v>151036</v>
      </c>
      <c r="M52" s="201">
        <f t="shared" si="26"/>
        <v>144071</v>
      </c>
      <c r="N52" s="201">
        <f t="shared" si="26"/>
        <v>125821</v>
      </c>
      <c r="O52" s="295">
        <f>O37+O31-O19</f>
        <v>153121</v>
      </c>
      <c r="P52" s="295">
        <f t="shared" si="26"/>
        <v>0</v>
      </c>
      <c r="Q52" s="295">
        <f t="shared" si="26"/>
        <v>0</v>
      </c>
      <c r="R52" s="295">
        <f t="shared" si="26"/>
        <v>0</v>
      </c>
      <c r="S52" s="87"/>
    </row>
    <row r="53" spans="2:19">
      <c r="B53" s="168"/>
      <c r="C53" s="162"/>
      <c r="D53" s="110"/>
      <c r="E53" s="162"/>
      <c r="F53" s="110"/>
      <c r="G53" s="111"/>
      <c r="H53" s="112"/>
      <c r="I53" s="111"/>
      <c r="J53" s="112"/>
      <c r="K53" s="113"/>
      <c r="L53" s="113"/>
      <c r="M53" s="113"/>
      <c r="N53" s="113"/>
      <c r="O53" s="270"/>
      <c r="P53" s="270"/>
      <c r="Q53" s="270"/>
      <c r="R53" s="270"/>
      <c r="S53" s="87"/>
    </row>
    <row r="54" spans="2:19" ht="33" customHeight="1">
      <c r="B54" s="368" t="s">
        <v>22</v>
      </c>
      <c r="C54" s="368"/>
      <c r="D54" s="368"/>
      <c r="E54" s="368"/>
      <c r="F54" s="368"/>
      <c r="G54" s="368"/>
      <c r="H54" s="368"/>
      <c r="I54" s="368"/>
      <c r="J54" s="368"/>
      <c r="K54" s="368"/>
      <c r="L54" s="368"/>
      <c r="M54" s="368"/>
      <c r="N54" s="368"/>
      <c r="O54" s="368"/>
      <c r="P54" s="368"/>
      <c r="Q54" s="368"/>
      <c r="R54" s="368"/>
      <c r="S54" s="368"/>
    </row>
    <row r="56" spans="2:19">
      <c r="C56" s="165"/>
      <c r="D56" s="165"/>
      <c r="E56" s="165"/>
      <c r="F56" s="165"/>
      <c r="G56" s="261"/>
      <c r="H56" s="261"/>
      <c r="I56" s="261"/>
      <c r="J56" s="261"/>
      <c r="K56" s="261"/>
      <c r="L56" s="261"/>
      <c r="M56" s="261"/>
      <c r="N56" s="261"/>
      <c r="O56" s="261"/>
      <c r="P56" s="261"/>
      <c r="Q56" s="261"/>
      <c r="R56" s="261"/>
    </row>
  </sheetData>
  <mergeCells count="5">
    <mergeCell ref="C3:F3"/>
    <mergeCell ref="G3:J3"/>
    <mergeCell ref="K3:N3"/>
    <mergeCell ref="B54:S54"/>
    <mergeCell ref="O3:R3"/>
  </mergeCells>
  <pageMargins left="0.7" right="0.7" top="0.75" bottom="0.75" header="0.3" footer="0.3"/>
  <pageSetup paperSize="9" scale="55" orientation="landscape" horizontalDpi="1200" verticalDpi="12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S48"/>
  <sheetViews>
    <sheetView view="pageBreakPreview" topLeftCell="A3" zoomScale="80" zoomScaleNormal="100" zoomScaleSheetLayoutView="80" workbookViewId="0">
      <selection activeCell="B45" sqref="B45"/>
    </sheetView>
  </sheetViews>
  <sheetFormatPr defaultRowHeight="14.5"/>
  <cols>
    <col min="1" max="1" width="2.453125" customWidth="1"/>
    <col min="2" max="2" width="66.54296875" customWidth="1"/>
    <col min="3" max="6" width="11.54296875" customWidth="1"/>
    <col min="7" max="18" width="10.54296875" customWidth="1"/>
    <col min="19" max="19" width="3" customWidth="1"/>
  </cols>
  <sheetData>
    <row r="1" spans="2:19" ht="15" thickBot="1"/>
    <row r="2" spans="2:19" ht="16" thickBot="1">
      <c r="B2" s="1" t="s">
        <v>71</v>
      </c>
      <c r="C2" s="26"/>
      <c r="D2" s="26"/>
      <c r="E2" s="26"/>
      <c r="F2" s="26"/>
      <c r="G2" s="26"/>
      <c r="H2" s="26"/>
      <c r="I2" s="26"/>
      <c r="J2" s="26"/>
      <c r="K2" s="26"/>
      <c r="L2" s="26"/>
      <c r="M2" s="26"/>
      <c r="N2" s="26"/>
      <c r="O2" s="264"/>
      <c r="P2" s="264"/>
      <c r="Q2" s="264"/>
      <c r="R2" s="264"/>
      <c r="S2" s="20"/>
    </row>
    <row r="3" spans="2:19" ht="15" thickBot="1">
      <c r="B3" s="63" t="s">
        <v>27</v>
      </c>
      <c r="C3" s="363">
        <v>2016</v>
      </c>
      <c r="D3" s="355"/>
      <c r="E3" s="355"/>
      <c r="F3" s="356"/>
      <c r="G3" s="357">
        <v>2017</v>
      </c>
      <c r="H3" s="358"/>
      <c r="I3" s="358"/>
      <c r="J3" s="359"/>
      <c r="K3" s="360">
        <v>2018</v>
      </c>
      <c r="L3" s="361"/>
      <c r="M3" s="361"/>
      <c r="N3" s="362"/>
      <c r="O3" s="365">
        <v>2019</v>
      </c>
      <c r="P3" s="366"/>
      <c r="Q3" s="366"/>
      <c r="R3" s="367"/>
      <c r="S3" s="24"/>
    </row>
    <row r="4" spans="2:19" ht="15" thickBot="1">
      <c r="B4" s="8" t="s">
        <v>1</v>
      </c>
      <c r="C4" s="147" t="s">
        <v>2</v>
      </c>
      <c r="D4" s="147" t="s">
        <v>3</v>
      </c>
      <c r="E4" s="147" t="s">
        <v>4</v>
      </c>
      <c r="F4" s="148" t="s">
        <v>5</v>
      </c>
      <c r="G4" s="64" t="s">
        <v>2</v>
      </c>
      <c r="H4" s="64" t="s">
        <v>3</v>
      </c>
      <c r="I4" s="64" t="s">
        <v>4</v>
      </c>
      <c r="J4" s="65" t="s">
        <v>5</v>
      </c>
      <c r="K4" s="66" t="s">
        <v>2</v>
      </c>
      <c r="L4" s="66" t="s">
        <v>3</v>
      </c>
      <c r="M4" s="66" t="s">
        <v>4</v>
      </c>
      <c r="N4" s="67" t="s">
        <v>5</v>
      </c>
      <c r="O4" s="265" t="s">
        <v>2</v>
      </c>
      <c r="P4" s="265" t="s">
        <v>3</v>
      </c>
      <c r="Q4" s="265" t="s">
        <v>4</v>
      </c>
      <c r="R4" s="266" t="s">
        <v>5</v>
      </c>
      <c r="S4" s="24"/>
    </row>
    <row r="5" spans="2:19">
      <c r="B5" s="68" t="s">
        <v>36</v>
      </c>
      <c r="C5" s="69">
        <v>-11814</v>
      </c>
      <c r="D5" s="69">
        <v>3826</v>
      </c>
      <c r="E5" s="69">
        <v>-45483</v>
      </c>
      <c r="F5" s="69">
        <v>-2150</v>
      </c>
      <c r="G5" s="70">
        <v>2246</v>
      </c>
      <c r="H5" s="70">
        <v>698</v>
      </c>
      <c r="I5" s="70">
        <v>-20053</v>
      </c>
      <c r="J5" s="70">
        <v>7583</v>
      </c>
      <c r="K5" s="71">
        <v>-1487</v>
      </c>
      <c r="L5" s="71">
        <v>12789</v>
      </c>
      <c r="M5" s="71">
        <v>-4227</v>
      </c>
      <c r="N5" s="71">
        <v>-8194</v>
      </c>
      <c r="O5" s="267">
        <v>-17780</v>
      </c>
      <c r="P5" s="267"/>
      <c r="Q5" s="267"/>
      <c r="R5" s="267"/>
      <c r="S5" s="24"/>
    </row>
    <row r="6" spans="2:19">
      <c r="B6" s="72"/>
      <c r="C6" s="73"/>
      <c r="D6" s="73"/>
      <c r="E6" s="73"/>
      <c r="F6" s="73"/>
      <c r="G6" s="74"/>
      <c r="H6" s="74"/>
      <c r="I6" s="74"/>
      <c r="J6" s="74"/>
      <c r="K6" s="75"/>
      <c r="L6" s="75"/>
      <c r="M6" s="75"/>
      <c r="N6" s="75"/>
      <c r="O6" s="268"/>
      <c r="P6" s="268"/>
      <c r="Q6" s="268"/>
      <c r="R6" s="268"/>
      <c r="S6" s="24"/>
    </row>
    <row r="7" spans="2:19">
      <c r="B7" s="72" t="s">
        <v>72</v>
      </c>
      <c r="C7" s="73">
        <v>-1212</v>
      </c>
      <c r="D7" s="73">
        <v>-1933</v>
      </c>
      <c r="E7" s="73">
        <v>-2328</v>
      </c>
      <c r="F7" s="73">
        <v>-1863</v>
      </c>
      <c r="G7" s="74">
        <v>-1563</v>
      </c>
      <c r="H7" s="74">
        <v>-2112</v>
      </c>
      <c r="I7" s="74">
        <v>-1510</v>
      </c>
      <c r="J7" s="74">
        <v>-2385</v>
      </c>
      <c r="K7" s="75">
        <v>-1960</v>
      </c>
      <c r="L7" s="75">
        <v>-1191</v>
      </c>
      <c r="M7" s="75">
        <v>-3445</v>
      </c>
      <c r="N7" s="75">
        <v>-2487</v>
      </c>
      <c r="O7" s="268">
        <v>-1835</v>
      </c>
      <c r="P7" s="268"/>
      <c r="Q7" s="268"/>
      <c r="R7" s="268"/>
      <c r="S7" s="24"/>
    </row>
    <row r="8" spans="2:19">
      <c r="B8" s="72" t="s">
        <v>138</v>
      </c>
      <c r="C8" s="73">
        <v>3928</v>
      </c>
      <c r="D8" s="73">
        <v>3985</v>
      </c>
      <c r="E8" s="73">
        <v>3985</v>
      </c>
      <c r="F8" s="73">
        <v>3935</v>
      </c>
      <c r="G8" s="74">
        <v>3745</v>
      </c>
      <c r="H8" s="74">
        <v>3696</v>
      </c>
      <c r="I8" s="74">
        <v>4330</v>
      </c>
      <c r="J8" s="74">
        <v>5350</v>
      </c>
      <c r="K8" s="75">
        <v>2788</v>
      </c>
      <c r="L8" s="75">
        <v>2668</v>
      </c>
      <c r="M8" s="75">
        <v>1732</v>
      </c>
      <c r="N8" s="75">
        <v>3258</v>
      </c>
      <c r="O8" s="268">
        <v>7082</v>
      </c>
      <c r="P8" s="268"/>
      <c r="Q8" s="268"/>
      <c r="R8" s="268"/>
      <c r="S8" s="24"/>
    </row>
    <row r="9" spans="2:19">
      <c r="B9" s="72" t="s">
        <v>87</v>
      </c>
      <c r="C9" s="73">
        <v>9744</v>
      </c>
      <c r="D9" s="73">
        <v>9284</v>
      </c>
      <c r="E9" s="73">
        <v>9257</v>
      </c>
      <c r="F9" s="73">
        <v>10643</v>
      </c>
      <c r="G9" s="74">
        <v>10644</v>
      </c>
      <c r="H9" s="74">
        <v>10818</v>
      </c>
      <c r="I9" s="74">
        <v>9586</v>
      </c>
      <c r="J9" s="74">
        <v>30195</v>
      </c>
      <c r="K9" s="75">
        <v>9622</v>
      </c>
      <c r="L9" s="75">
        <v>9385</v>
      </c>
      <c r="M9" s="75">
        <v>9220</v>
      </c>
      <c r="N9" s="75">
        <v>8728</v>
      </c>
      <c r="O9" s="268">
        <v>12079</v>
      </c>
      <c r="P9" s="268"/>
      <c r="Q9" s="268"/>
      <c r="R9" s="268"/>
      <c r="S9" s="24"/>
    </row>
    <row r="10" spans="2:19">
      <c r="B10" s="72" t="s">
        <v>73</v>
      </c>
      <c r="C10" s="73">
        <v>0</v>
      </c>
      <c r="D10" s="73">
        <v>0</v>
      </c>
      <c r="E10" s="73">
        <v>0</v>
      </c>
      <c r="F10" s="73">
        <v>-18527</v>
      </c>
      <c r="G10" s="74">
        <v>0</v>
      </c>
      <c r="H10" s="74">
        <v>0</v>
      </c>
      <c r="I10" s="74">
        <v>0</v>
      </c>
      <c r="J10" s="74">
        <v>0</v>
      </c>
      <c r="K10" s="75">
        <v>0</v>
      </c>
      <c r="L10" s="75">
        <v>0</v>
      </c>
      <c r="M10" s="75">
        <v>0</v>
      </c>
      <c r="N10" s="75">
        <v>0</v>
      </c>
      <c r="O10" s="268">
        <v>0</v>
      </c>
      <c r="P10" s="268"/>
      <c r="Q10" s="268"/>
      <c r="R10" s="268"/>
      <c r="S10" s="24"/>
    </row>
    <row r="11" spans="2:19">
      <c r="B11" s="72" t="s">
        <v>134</v>
      </c>
      <c r="C11" s="73">
        <v>0</v>
      </c>
      <c r="D11" s="73">
        <v>0</v>
      </c>
      <c r="E11" s="73">
        <v>0</v>
      </c>
      <c r="F11" s="73">
        <v>0</v>
      </c>
      <c r="G11" s="74">
        <v>0</v>
      </c>
      <c r="H11" s="74">
        <v>0</v>
      </c>
      <c r="I11" s="74">
        <v>0</v>
      </c>
      <c r="J11" s="74">
        <v>0</v>
      </c>
      <c r="K11" s="75">
        <v>1776</v>
      </c>
      <c r="L11" s="75">
        <v>-1810</v>
      </c>
      <c r="M11" s="75">
        <v>753</v>
      </c>
      <c r="N11" s="75">
        <v>-171</v>
      </c>
      <c r="O11" s="268">
        <v>-175</v>
      </c>
      <c r="P11" s="268"/>
      <c r="Q11" s="268"/>
      <c r="R11" s="268"/>
      <c r="S11" s="24"/>
    </row>
    <row r="12" spans="2:19">
      <c r="B12" s="72" t="s">
        <v>74</v>
      </c>
      <c r="C12" s="73">
        <v>0</v>
      </c>
      <c r="D12" s="73">
        <v>0</v>
      </c>
      <c r="E12" s="73">
        <v>0</v>
      </c>
      <c r="F12" s="73">
        <v>0</v>
      </c>
      <c r="G12" s="74">
        <v>0</v>
      </c>
      <c r="H12" s="74">
        <v>0</v>
      </c>
      <c r="I12" s="74">
        <v>-8</v>
      </c>
      <c r="J12" s="74">
        <v>0</v>
      </c>
      <c r="K12" s="75">
        <v>0</v>
      </c>
      <c r="L12" s="75">
        <v>0</v>
      </c>
      <c r="M12" s="75">
        <v>-192</v>
      </c>
      <c r="N12" s="75">
        <v>650</v>
      </c>
      <c r="O12" s="268">
        <v>0</v>
      </c>
      <c r="P12" s="268"/>
      <c r="Q12" s="268"/>
      <c r="R12" s="268"/>
      <c r="S12" s="24"/>
    </row>
    <row r="13" spans="2:19">
      <c r="B13" s="72" t="s">
        <v>135</v>
      </c>
      <c r="C13" s="73">
        <v>0</v>
      </c>
      <c r="D13" s="73">
        <v>0</v>
      </c>
      <c r="E13" s="73">
        <v>0</v>
      </c>
      <c r="F13" s="73">
        <v>0</v>
      </c>
      <c r="G13" s="74">
        <v>0</v>
      </c>
      <c r="H13" s="74">
        <v>0</v>
      </c>
      <c r="I13" s="74">
        <v>0</v>
      </c>
      <c r="J13" s="74">
        <v>99</v>
      </c>
      <c r="K13" s="75">
        <v>71</v>
      </c>
      <c r="L13" s="75">
        <v>70</v>
      </c>
      <c r="M13" s="75">
        <v>93</v>
      </c>
      <c r="N13" s="75">
        <v>88</v>
      </c>
      <c r="O13" s="268">
        <v>88</v>
      </c>
      <c r="P13" s="268"/>
      <c r="Q13" s="268"/>
      <c r="R13" s="268"/>
      <c r="S13" s="24"/>
    </row>
    <row r="14" spans="2:19">
      <c r="B14" s="72"/>
      <c r="C14" s="73"/>
      <c r="D14" s="73"/>
      <c r="E14" s="73"/>
      <c r="F14" s="73"/>
      <c r="G14" s="74"/>
      <c r="H14" s="74"/>
      <c r="I14" s="74"/>
      <c r="J14" s="74"/>
      <c r="K14" s="75"/>
      <c r="L14" s="75"/>
      <c r="M14" s="75"/>
      <c r="N14" s="75"/>
      <c r="O14" s="268"/>
      <c r="P14" s="268"/>
      <c r="Q14" s="268"/>
      <c r="R14" s="268"/>
      <c r="S14" s="24"/>
    </row>
    <row r="15" spans="2:19">
      <c r="B15" s="125" t="s">
        <v>75</v>
      </c>
      <c r="C15" s="73"/>
      <c r="D15" s="73"/>
      <c r="E15" s="73"/>
      <c r="F15" s="73"/>
      <c r="G15" s="74"/>
      <c r="H15" s="74"/>
      <c r="I15" s="74"/>
      <c r="J15" s="74"/>
      <c r="K15" s="75"/>
      <c r="L15" s="75"/>
      <c r="M15" s="75"/>
      <c r="N15" s="75"/>
      <c r="O15" s="268"/>
      <c r="P15" s="268"/>
      <c r="Q15" s="268"/>
      <c r="R15" s="268"/>
      <c r="S15" s="24"/>
    </row>
    <row r="16" spans="2:19">
      <c r="B16" s="72" t="s">
        <v>76</v>
      </c>
      <c r="C16" s="73">
        <v>-15234</v>
      </c>
      <c r="D16" s="73">
        <v>16827</v>
      </c>
      <c r="E16" s="73">
        <v>11012</v>
      </c>
      <c r="F16" s="73">
        <v>2446</v>
      </c>
      <c r="G16" s="74">
        <v>-3054</v>
      </c>
      <c r="H16" s="74">
        <v>391</v>
      </c>
      <c r="I16" s="74">
        <v>6870</v>
      </c>
      <c r="J16" s="74">
        <v>-3333</v>
      </c>
      <c r="K16" s="75">
        <v>2492</v>
      </c>
      <c r="L16" s="75">
        <v>6851</v>
      </c>
      <c r="M16" s="75">
        <v>-12517</v>
      </c>
      <c r="N16" s="75">
        <v>-3369</v>
      </c>
      <c r="O16" s="268">
        <v>8240</v>
      </c>
      <c r="P16" s="268"/>
      <c r="Q16" s="268"/>
      <c r="R16" s="268"/>
      <c r="S16" s="24"/>
    </row>
    <row r="17" spans="2:19">
      <c r="B17" s="72" t="s">
        <v>77</v>
      </c>
      <c r="C17" s="73">
        <v>-25106</v>
      </c>
      <c r="D17" s="73">
        <v>-6246</v>
      </c>
      <c r="E17" s="73">
        <v>-7633</v>
      </c>
      <c r="F17" s="73">
        <v>7447</v>
      </c>
      <c r="G17" s="74">
        <v>-55892</v>
      </c>
      <c r="H17" s="74">
        <v>-15299</v>
      </c>
      <c r="I17" s="74">
        <v>-22307</v>
      </c>
      <c r="J17" s="74">
        <v>-57849</v>
      </c>
      <c r="K17" s="75">
        <v>179992</v>
      </c>
      <c r="L17" s="75">
        <v>-19877</v>
      </c>
      <c r="M17" s="75">
        <v>-14207</v>
      </c>
      <c r="N17" s="75">
        <v>-1074</v>
      </c>
      <c r="O17" s="268">
        <v>-10344</v>
      </c>
      <c r="P17" s="268"/>
      <c r="Q17" s="268"/>
      <c r="R17" s="268"/>
      <c r="S17" s="24"/>
    </row>
    <row r="18" spans="2:19">
      <c r="B18" s="72" t="s">
        <v>136</v>
      </c>
      <c r="C18" s="73">
        <f>23468-5878</f>
        <v>17590</v>
      </c>
      <c r="D18" s="73">
        <f>-39779-1103</f>
        <v>-40882</v>
      </c>
      <c r="E18" s="73">
        <f>20192+1909</f>
        <v>22101</v>
      </c>
      <c r="F18" s="73">
        <f>2401+5971</f>
        <v>8372</v>
      </c>
      <c r="G18" s="74">
        <f>199-8472</f>
        <v>-8273</v>
      </c>
      <c r="H18" s="74">
        <f>3716+9039</f>
        <v>12755</v>
      </c>
      <c r="I18" s="74">
        <f>1950-162</f>
        <v>1788</v>
      </c>
      <c r="J18" s="74">
        <f>6089-421</f>
        <v>5668</v>
      </c>
      <c r="K18" s="75">
        <f>-256227-15601</f>
        <v>-271828</v>
      </c>
      <c r="L18" s="75">
        <f>224559+6259</f>
        <v>230818</v>
      </c>
      <c r="M18" s="75">
        <f>25419-4705</f>
        <v>20714</v>
      </c>
      <c r="N18" s="75">
        <f>-21437+11401</f>
        <v>-10036</v>
      </c>
      <c r="O18" s="268">
        <v>37202</v>
      </c>
      <c r="P18" s="268"/>
      <c r="Q18" s="268"/>
      <c r="R18" s="268"/>
      <c r="S18" s="24"/>
    </row>
    <row r="19" spans="2:19">
      <c r="B19" s="72" t="s">
        <v>137</v>
      </c>
      <c r="C19" s="73">
        <v>5878</v>
      </c>
      <c r="D19" s="73">
        <v>1103</v>
      </c>
      <c r="E19" s="73">
        <v>-1909</v>
      </c>
      <c r="F19" s="73">
        <v>-5971</v>
      </c>
      <c r="G19" s="74">
        <v>8472</v>
      </c>
      <c r="H19" s="74">
        <v>-9039</v>
      </c>
      <c r="I19" s="74">
        <v>162</v>
      </c>
      <c r="J19" s="74">
        <v>421</v>
      </c>
      <c r="K19" s="75">
        <v>15601</v>
      </c>
      <c r="L19" s="75">
        <v>-6259</v>
      </c>
      <c r="M19" s="75">
        <v>4705</v>
      </c>
      <c r="N19" s="75">
        <v>-11401</v>
      </c>
      <c r="O19" s="268">
        <v>951</v>
      </c>
      <c r="P19" s="268"/>
      <c r="Q19" s="268"/>
      <c r="R19" s="268"/>
      <c r="S19" s="24"/>
    </row>
    <row r="20" spans="2:19">
      <c r="B20" s="72" t="s">
        <v>139</v>
      </c>
      <c r="C20" s="73">
        <v>5439</v>
      </c>
      <c r="D20" s="73">
        <v>6887</v>
      </c>
      <c r="E20" s="73">
        <v>-612</v>
      </c>
      <c r="F20" s="73">
        <v>10582</v>
      </c>
      <c r="G20" s="74">
        <v>-25541</v>
      </c>
      <c r="H20" s="74">
        <v>-5629</v>
      </c>
      <c r="I20" s="74">
        <v>-5096</v>
      </c>
      <c r="J20" s="74">
        <v>25329</v>
      </c>
      <c r="K20" s="75">
        <v>-28283</v>
      </c>
      <c r="L20" s="75">
        <v>-6958</v>
      </c>
      <c r="M20" s="75">
        <v>10952</v>
      </c>
      <c r="N20" s="75">
        <v>31009</v>
      </c>
      <c r="O20" s="268">
        <v>-15838</v>
      </c>
      <c r="P20" s="268"/>
      <c r="Q20" s="268"/>
      <c r="R20" s="268"/>
      <c r="S20" s="24"/>
    </row>
    <row r="21" spans="2:19">
      <c r="B21" s="72" t="s">
        <v>140</v>
      </c>
      <c r="C21" s="73">
        <v>-17023</v>
      </c>
      <c r="D21" s="73">
        <v>-31137</v>
      </c>
      <c r="E21" s="73">
        <v>-16885</v>
      </c>
      <c r="F21" s="73">
        <v>6993</v>
      </c>
      <c r="G21" s="74">
        <v>965</v>
      </c>
      <c r="H21" s="74">
        <v>-1183</v>
      </c>
      <c r="I21" s="74">
        <v>39296</v>
      </c>
      <c r="J21" s="74">
        <v>-318</v>
      </c>
      <c r="K21" s="75">
        <f>50997-1776+3371</f>
        <v>52592</v>
      </c>
      <c r="L21" s="75">
        <f>-80785+1810-447</f>
        <v>-79422</v>
      </c>
      <c r="M21" s="75">
        <f>3625-753+495</f>
        <v>3367</v>
      </c>
      <c r="N21" s="75">
        <f>30863+171-5140</f>
        <v>25894</v>
      </c>
      <c r="O21" s="268">
        <v>-32342</v>
      </c>
      <c r="P21" s="268"/>
      <c r="Q21" s="268"/>
      <c r="R21" s="268"/>
      <c r="S21" s="24"/>
    </row>
    <row r="22" spans="2:19">
      <c r="B22" s="80" t="s">
        <v>78</v>
      </c>
      <c r="C22" s="81">
        <f t="shared" ref="C22:R22" si="0">SUM(C5:C21)</f>
        <v>-27810</v>
      </c>
      <c r="D22" s="81">
        <f t="shared" si="0"/>
        <v>-38286</v>
      </c>
      <c r="E22" s="81">
        <f t="shared" si="0"/>
        <v>-28495</v>
      </c>
      <c r="F22" s="81">
        <f t="shared" si="0"/>
        <v>21907</v>
      </c>
      <c r="G22" s="82">
        <f t="shared" si="0"/>
        <v>-68251</v>
      </c>
      <c r="H22" s="82">
        <f t="shared" si="0"/>
        <v>-4904</v>
      </c>
      <c r="I22" s="82">
        <f t="shared" si="0"/>
        <v>13058</v>
      </c>
      <c r="J22" s="82">
        <f t="shared" si="0"/>
        <v>10760</v>
      </c>
      <c r="K22" s="83">
        <f t="shared" si="0"/>
        <v>-38624</v>
      </c>
      <c r="L22" s="83">
        <f t="shared" si="0"/>
        <v>147064</v>
      </c>
      <c r="M22" s="83">
        <f t="shared" si="0"/>
        <v>16948</v>
      </c>
      <c r="N22" s="83">
        <f t="shared" si="0"/>
        <v>32895</v>
      </c>
      <c r="O22" s="269">
        <f t="shared" si="0"/>
        <v>-12672</v>
      </c>
      <c r="P22" s="269">
        <f t="shared" si="0"/>
        <v>0</v>
      </c>
      <c r="Q22" s="269">
        <f t="shared" si="0"/>
        <v>0</v>
      </c>
      <c r="R22" s="269">
        <f t="shared" si="0"/>
        <v>0</v>
      </c>
      <c r="S22" s="24"/>
    </row>
    <row r="23" spans="2:19">
      <c r="B23" s="72"/>
      <c r="C23" s="73"/>
      <c r="D23" s="73"/>
      <c r="E23" s="73"/>
      <c r="F23" s="73"/>
      <c r="G23" s="74"/>
      <c r="H23" s="74"/>
      <c r="I23" s="74"/>
      <c r="J23" s="74"/>
      <c r="K23" s="75"/>
      <c r="L23" s="75"/>
      <c r="M23" s="75"/>
      <c r="N23" s="75"/>
      <c r="O23" s="268"/>
      <c r="P23" s="268"/>
      <c r="Q23" s="268"/>
      <c r="R23" s="268"/>
      <c r="S23" s="24"/>
    </row>
    <row r="24" spans="2:19">
      <c r="B24" s="72" t="s">
        <v>79</v>
      </c>
      <c r="C24" s="73">
        <v>-3184</v>
      </c>
      <c r="D24" s="73">
        <v>-4306</v>
      </c>
      <c r="E24" s="73">
        <v>-363</v>
      </c>
      <c r="F24" s="73">
        <v>-15740</v>
      </c>
      <c r="G24" s="74">
        <v>-5346</v>
      </c>
      <c r="H24" s="74">
        <v>-4211</v>
      </c>
      <c r="I24" s="74">
        <v>-3785</v>
      </c>
      <c r="J24" s="74">
        <v>-10943</v>
      </c>
      <c r="K24" s="75">
        <v>-5954</v>
      </c>
      <c r="L24" s="75">
        <v>-8656</v>
      </c>
      <c r="M24" s="75">
        <v>-6399</v>
      </c>
      <c r="N24" s="75">
        <v>-9357</v>
      </c>
      <c r="O24" s="268">
        <v>-7568</v>
      </c>
      <c r="P24" s="268"/>
      <c r="Q24" s="268"/>
      <c r="R24" s="268"/>
      <c r="S24" s="24"/>
    </row>
    <row r="25" spans="2:19">
      <c r="B25" s="72" t="s">
        <v>80</v>
      </c>
      <c r="C25" s="73">
        <v>-700</v>
      </c>
      <c r="D25" s="73">
        <v>-3001</v>
      </c>
      <c r="E25" s="73">
        <v>-742</v>
      </c>
      <c r="F25" s="73">
        <v>-3905</v>
      </c>
      <c r="G25" s="74">
        <v>-1105</v>
      </c>
      <c r="H25" s="74">
        <v>0</v>
      </c>
      <c r="I25" s="74">
        <v>-1487</v>
      </c>
      <c r="J25" s="74">
        <v>-3236</v>
      </c>
      <c r="K25" s="75">
        <v>-2159</v>
      </c>
      <c r="L25" s="75">
        <v>-1700</v>
      </c>
      <c r="M25" s="75">
        <v>-2882</v>
      </c>
      <c r="N25" s="75">
        <v>-6373</v>
      </c>
      <c r="O25" s="268">
        <v>-1299</v>
      </c>
      <c r="P25" s="268"/>
      <c r="Q25" s="268"/>
      <c r="R25" s="268"/>
      <c r="S25" s="24"/>
    </row>
    <row r="26" spans="2:19">
      <c r="B26" s="72" t="s">
        <v>81</v>
      </c>
      <c r="C26" s="73">
        <v>0</v>
      </c>
      <c r="D26" s="73">
        <v>-23845</v>
      </c>
      <c r="E26" s="73">
        <v>-26362</v>
      </c>
      <c r="F26" s="73">
        <v>-1942</v>
      </c>
      <c r="G26" s="74">
        <v>0</v>
      </c>
      <c r="H26" s="74">
        <v>-33</v>
      </c>
      <c r="I26" s="74">
        <v>0</v>
      </c>
      <c r="J26" s="74">
        <v>0</v>
      </c>
      <c r="K26" s="75">
        <v>0</v>
      </c>
      <c r="L26" s="75">
        <v>-23210</v>
      </c>
      <c r="M26" s="75">
        <v>0</v>
      </c>
      <c r="N26" s="75">
        <v>0</v>
      </c>
      <c r="O26" s="268">
        <v>0</v>
      </c>
      <c r="P26" s="268"/>
      <c r="Q26" s="268"/>
      <c r="R26" s="268"/>
      <c r="S26" s="24"/>
    </row>
    <row r="27" spans="2:19">
      <c r="B27" s="72" t="s">
        <v>82</v>
      </c>
      <c r="C27" s="73">
        <v>746</v>
      </c>
      <c r="D27" s="73">
        <v>-287</v>
      </c>
      <c r="E27" s="73">
        <v>333</v>
      </c>
      <c r="F27" s="73">
        <v>43</v>
      </c>
      <c r="G27" s="74">
        <v>3617</v>
      </c>
      <c r="H27" s="74">
        <v>0</v>
      </c>
      <c r="I27" s="74">
        <v>0</v>
      </c>
      <c r="J27" s="74">
        <v>-4452</v>
      </c>
      <c r="K27" s="75">
        <v>0</v>
      </c>
      <c r="L27" s="75">
        <v>0</v>
      </c>
      <c r="M27" s="75">
        <v>0</v>
      </c>
      <c r="N27" s="75">
        <v>0</v>
      </c>
      <c r="O27" s="268">
        <v>0</v>
      </c>
      <c r="P27" s="268"/>
      <c r="Q27" s="268"/>
      <c r="R27" s="268"/>
      <c r="S27" s="24"/>
    </row>
    <row r="28" spans="2:19">
      <c r="B28" s="80" t="s">
        <v>83</v>
      </c>
      <c r="C28" s="81">
        <f t="shared" ref="C28:R28" si="1">SUM(C24:C27)</f>
        <v>-3138</v>
      </c>
      <c r="D28" s="81">
        <f t="shared" si="1"/>
        <v>-31439</v>
      </c>
      <c r="E28" s="81">
        <f t="shared" si="1"/>
        <v>-27134</v>
      </c>
      <c r="F28" s="81">
        <f t="shared" si="1"/>
        <v>-21544</v>
      </c>
      <c r="G28" s="82">
        <f t="shared" si="1"/>
        <v>-2834</v>
      </c>
      <c r="H28" s="82">
        <f t="shared" si="1"/>
        <v>-4244</v>
      </c>
      <c r="I28" s="82">
        <f t="shared" si="1"/>
        <v>-5272</v>
      </c>
      <c r="J28" s="82">
        <f t="shared" si="1"/>
        <v>-18631</v>
      </c>
      <c r="K28" s="83">
        <f t="shared" si="1"/>
        <v>-8113</v>
      </c>
      <c r="L28" s="83">
        <f t="shared" si="1"/>
        <v>-33566</v>
      </c>
      <c r="M28" s="83">
        <f t="shared" si="1"/>
        <v>-9281</v>
      </c>
      <c r="N28" s="83">
        <f t="shared" si="1"/>
        <v>-15730</v>
      </c>
      <c r="O28" s="269">
        <f t="shared" si="1"/>
        <v>-8867</v>
      </c>
      <c r="P28" s="269">
        <f t="shared" si="1"/>
        <v>0</v>
      </c>
      <c r="Q28" s="269">
        <f t="shared" si="1"/>
        <v>0</v>
      </c>
      <c r="R28" s="269">
        <f t="shared" si="1"/>
        <v>0</v>
      </c>
      <c r="S28" s="24"/>
    </row>
    <row r="29" spans="2:19">
      <c r="B29" s="72"/>
      <c r="C29" s="73"/>
      <c r="D29" s="73"/>
      <c r="E29" s="73"/>
      <c r="F29" s="73"/>
      <c r="G29" s="74"/>
      <c r="H29" s="74"/>
      <c r="I29" s="74"/>
      <c r="J29" s="74"/>
      <c r="K29" s="75"/>
      <c r="L29" s="75"/>
      <c r="M29" s="75"/>
      <c r="N29" s="75"/>
      <c r="O29" s="268"/>
      <c r="P29" s="268"/>
      <c r="Q29" s="268"/>
      <c r="R29" s="268"/>
      <c r="S29" s="24"/>
    </row>
    <row r="30" spans="2:19">
      <c r="B30" s="72" t="s">
        <v>141</v>
      </c>
      <c r="C30" s="73">
        <v>18510</v>
      </c>
      <c r="D30" s="73">
        <v>34500</v>
      </c>
      <c r="E30" s="73">
        <v>57138</v>
      </c>
      <c r="F30" s="73">
        <v>13783</v>
      </c>
      <c r="G30" s="74">
        <v>48201</v>
      </c>
      <c r="H30" s="74">
        <v>37765</v>
      </c>
      <c r="I30" s="74">
        <v>34645</v>
      </c>
      <c r="J30" s="74">
        <v>16865</v>
      </c>
      <c r="K30" s="75">
        <v>30850</v>
      </c>
      <c r="L30" s="75">
        <v>17875</v>
      </c>
      <c r="M30" s="75">
        <v>-2479</v>
      </c>
      <c r="N30" s="75">
        <v>175108</v>
      </c>
      <c r="O30" s="268">
        <v>39764</v>
      </c>
      <c r="P30" s="268"/>
      <c r="Q30" s="268"/>
      <c r="R30" s="268"/>
      <c r="S30" s="24"/>
    </row>
    <row r="31" spans="2:19">
      <c r="B31" s="72" t="s">
        <v>142</v>
      </c>
      <c r="C31" s="73">
        <v>0</v>
      </c>
      <c r="D31" s="73">
        <v>0</v>
      </c>
      <c r="E31" s="73">
        <v>0</v>
      </c>
      <c r="F31" s="73">
        <v>-58220</v>
      </c>
      <c r="G31" s="74">
        <v>0</v>
      </c>
      <c r="H31" s="74">
        <v>0</v>
      </c>
      <c r="I31" s="74">
        <v>-11545</v>
      </c>
      <c r="J31" s="74">
        <v>-29069</v>
      </c>
      <c r="K31" s="75">
        <v>0</v>
      </c>
      <c r="L31" s="75">
        <v>-145000</v>
      </c>
      <c r="M31" s="75">
        <v>0</v>
      </c>
      <c r="N31" s="75">
        <v>-193601</v>
      </c>
      <c r="O31" s="268">
        <v>0</v>
      </c>
      <c r="P31" s="268"/>
      <c r="Q31" s="268"/>
      <c r="R31" s="268"/>
      <c r="S31" s="24"/>
    </row>
    <row r="32" spans="2:19">
      <c r="B32" s="72" t="s">
        <v>84</v>
      </c>
      <c r="C32" s="73">
        <v>0</v>
      </c>
      <c r="D32" s="73">
        <v>0</v>
      </c>
      <c r="E32" s="73">
        <v>0</v>
      </c>
      <c r="F32" s="73">
        <v>127188</v>
      </c>
      <c r="G32" s="74">
        <v>0</v>
      </c>
      <c r="H32" s="74">
        <v>0</v>
      </c>
      <c r="I32" s="74">
        <v>0</v>
      </c>
      <c r="J32" s="74">
        <v>0</v>
      </c>
      <c r="K32" s="75">
        <v>0</v>
      </c>
      <c r="L32" s="75">
        <v>0</v>
      </c>
      <c r="M32" s="75">
        <v>0</v>
      </c>
      <c r="N32" s="75">
        <v>0</v>
      </c>
      <c r="O32" s="268">
        <v>0</v>
      </c>
      <c r="P32" s="268"/>
      <c r="Q32" s="268"/>
      <c r="R32" s="268"/>
      <c r="S32" s="24"/>
    </row>
    <row r="33" spans="2:19">
      <c r="B33" s="72" t="s">
        <v>85</v>
      </c>
      <c r="C33" s="73">
        <v>0</v>
      </c>
      <c r="D33" s="73">
        <v>0</v>
      </c>
      <c r="E33" s="73">
        <v>0</v>
      </c>
      <c r="F33" s="73">
        <v>0</v>
      </c>
      <c r="G33" s="74">
        <v>0</v>
      </c>
      <c r="H33" s="74">
        <v>0</v>
      </c>
      <c r="I33" s="74">
        <v>-5220</v>
      </c>
      <c r="J33" s="74">
        <v>0</v>
      </c>
      <c r="K33" s="75">
        <v>0</v>
      </c>
      <c r="L33" s="75">
        <v>0</v>
      </c>
      <c r="M33" s="75">
        <v>0</v>
      </c>
      <c r="N33" s="75">
        <v>0</v>
      </c>
      <c r="O33" s="268">
        <v>-4678</v>
      </c>
      <c r="P33" s="268"/>
      <c r="Q33" s="268"/>
      <c r="R33" s="268"/>
      <c r="S33" s="24"/>
    </row>
    <row r="34" spans="2:19">
      <c r="B34" s="80" t="s">
        <v>143</v>
      </c>
      <c r="C34" s="81">
        <f t="shared" ref="C34:R34" si="2">SUM(C30:C33)</f>
        <v>18510</v>
      </c>
      <c r="D34" s="81">
        <f t="shared" si="2"/>
        <v>34500</v>
      </c>
      <c r="E34" s="81">
        <f t="shared" si="2"/>
        <v>57138</v>
      </c>
      <c r="F34" s="81">
        <f t="shared" si="2"/>
        <v>82751</v>
      </c>
      <c r="G34" s="82">
        <f t="shared" si="2"/>
        <v>48201</v>
      </c>
      <c r="H34" s="82">
        <f t="shared" si="2"/>
        <v>37765</v>
      </c>
      <c r="I34" s="82">
        <f t="shared" si="2"/>
        <v>17880</v>
      </c>
      <c r="J34" s="82">
        <f t="shared" si="2"/>
        <v>-12204</v>
      </c>
      <c r="K34" s="83">
        <f t="shared" si="2"/>
        <v>30850</v>
      </c>
      <c r="L34" s="83">
        <f t="shared" si="2"/>
        <v>-127125</v>
      </c>
      <c r="M34" s="83">
        <f t="shared" si="2"/>
        <v>-2479</v>
      </c>
      <c r="N34" s="83">
        <f t="shared" si="2"/>
        <v>-18493</v>
      </c>
      <c r="O34" s="269">
        <f t="shared" si="2"/>
        <v>35086</v>
      </c>
      <c r="P34" s="269">
        <f t="shared" si="2"/>
        <v>0</v>
      </c>
      <c r="Q34" s="269">
        <f t="shared" si="2"/>
        <v>0</v>
      </c>
      <c r="R34" s="269">
        <f t="shared" si="2"/>
        <v>0</v>
      </c>
      <c r="S34" s="24"/>
    </row>
    <row r="35" spans="2:19">
      <c r="B35" s="68"/>
      <c r="C35" s="69"/>
      <c r="D35" s="69"/>
      <c r="E35" s="69"/>
      <c r="F35" s="69"/>
      <c r="G35" s="70"/>
      <c r="H35" s="70"/>
      <c r="I35" s="70"/>
      <c r="J35" s="70"/>
      <c r="K35" s="177"/>
      <c r="L35" s="177"/>
      <c r="M35" s="177"/>
      <c r="N35" s="177"/>
      <c r="O35" s="272"/>
      <c r="P35" s="267"/>
      <c r="Q35" s="267"/>
      <c r="R35" s="267"/>
      <c r="S35" s="24"/>
    </row>
    <row r="36" spans="2:19">
      <c r="B36" s="92" t="s">
        <v>144</v>
      </c>
      <c r="C36" s="69">
        <v>0</v>
      </c>
      <c r="D36" s="69">
        <v>0</v>
      </c>
      <c r="E36" s="69">
        <v>0</v>
      </c>
      <c r="F36" s="69">
        <v>0</v>
      </c>
      <c r="G36" s="70">
        <v>0</v>
      </c>
      <c r="H36" s="70">
        <v>0</v>
      </c>
      <c r="I36" s="93">
        <v>0</v>
      </c>
      <c r="J36" s="70">
        <v>0</v>
      </c>
      <c r="K36" s="71">
        <v>-3371</v>
      </c>
      <c r="L36" s="71">
        <v>447</v>
      </c>
      <c r="M36" s="71">
        <v>-495</v>
      </c>
      <c r="N36" s="71">
        <v>5140</v>
      </c>
      <c r="O36" s="271">
        <v>-1083</v>
      </c>
      <c r="P36" s="267"/>
      <c r="Q36" s="267"/>
      <c r="R36" s="272"/>
      <c r="S36" s="24"/>
    </row>
    <row r="37" spans="2:19">
      <c r="B37" s="92"/>
      <c r="C37" s="69"/>
      <c r="D37" s="69"/>
      <c r="E37" s="69"/>
      <c r="F37" s="69"/>
      <c r="G37" s="70"/>
      <c r="H37" s="70"/>
      <c r="I37" s="93"/>
      <c r="J37" s="70"/>
      <c r="K37" s="71"/>
      <c r="L37" s="71"/>
      <c r="M37" s="71"/>
      <c r="N37" s="71"/>
      <c r="O37" s="271"/>
      <c r="P37" s="267"/>
      <c r="Q37" s="267"/>
      <c r="R37" s="272"/>
      <c r="S37" s="24"/>
    </row>
    <row r="38" spans="2:19">
      <c r="B38" s="92" t="s">
        <v>145</v>
      </c>
      <c r="C38" s="69">
        <f>+C22+C28+C34+C36</f>
        <v>-12438</v>
      </c>
      <c r="D38" s="69">
        <f t="shared" ref="D38:F38" si="3">+D22+D28+D34+D36</f>
        <v>-35225</v>
      </c>
      <c r="E38" s="69">
        <f t="shared" si="3"/>
        <v>1509</v>
      </c>
      <c r="F38" s="69">
        <f t="shared" si="3"/>
        <v>83114</v>
      </c>
      <c r="G38" s="70">
        <f>+G22+G28+G34+G36</f>
        <v>-22884</v>
      </c>
      <c r="H38" s="70">
        <f t="shared" ref="H38:J38" si="4">+H22+H28+H34+H36</f>
        <v>28617</v>
      </c>
      <c r="I38" s="70">
        <f t="shared" si="4"/>
        <v>25666</v>
      </c>
      <c r="J38" s="70">
        <f t="shared" si="4"/>
        <v>-20075</v>
      </c>
      <c r="K38" s="71">
        <f>+K22+K28+K34+K36</f>
        <v>-19258</v>
      </c>
      <c r="L38" s="71">
        <f t="shared" ref="L38:N38" si="5">+L22+L28+L34+L36</f>
        <v>-13180</v>
      </c>
      <c r="M38" s="71">
        <f t="shared" si="5"/>
        <v>4693</v>
      </c>
      <c r="N38" s="71">
        <f t="shared" si="5"/>
        <v>3812</v>
      </c>
      <c r="O38" s="271">
        <f>+O22+O28+O34+O36</f>
        <v>12464</v>
      </c>
      <c r="P38" s="267"/>
      <c r="Q38" s="267"/>
      <c r="R38" s="272"/>
      <c r="S38" s="24"/>
    </row>
    <row r="39" spans="2:19">
      <c r="B39" s="47" t="s">
        <v>146</v>
      </c>
      <c r="C39" s="120">
        <v>65349</v>
      </c>
      <c r="D39" s="120">
        <f>C41</f>
        <v>52911</v>
      </c>
      <c r="E39" s="120">
        <f>D41</f>
        <v>17686</v>
      </c>
      <c r="F39" s="120">
        <f>E41</f>
        <v>19195</v>
      </c>
      <c r="G39" s="116">
        <f>F41</f>
        <v>101474</v>
      </c>
      <c r="H39" s="116">
        <f t="shared" ref="H39:L39" si="6">G41</f>
        <v>74973</v>
      </c>
      <c r="I39" s="115">
        <f t="shared" si="6"/>
        <v>103590</v>
      </c>
      <c r="J39" s="116">
        <f t="shared" si="6"/>
        <v>129256</v>
      </c>
      <c r="K39" s="126">
        <f>J41</f>
        <v>113633</v>
      </c>
      <c r="L39" s="126">
        <f t="shared" si="6"/>
        <v>94375</v>
      </c>
      <c r="M39" s="126">
        <f>L41</f>
        <v>81195</v>
      </c>
      <c r="N39" s="126">
        <f>M41</f>
        <v>85888</v>
      </c>
      <c r="O39" s="273">
        <f>N41</f>
        <v>89700</v>
      </c>
      <c r="P39" s="274"/>
      <c r="Q39" s="274"/>
      <c r="R39" s="275"/>
      <c r="S39" s="20"/>
    </row>
    <row r="40" spans="2:19">
      <c r="B40" s="53" t="s">
        <v>86</v>
      </c>
      <c r="C40" s="114">
        <v>0</v>
      </c>
      <c r="D40" s="114">
        <v>0</v>
      </c>
      <c r="E40" s="114">
        <v>0</v>
      </c>
      <c r="F40" s="114">
        <v>-835</v>
      </c>
      <c r="G40" s="116">
        <v>-3617</v>
      </c>
      <c r="H40" s="116">
        <v>0</v>
      </c>
      <c r="I40" s="115">
        <v>0</v>
      </c>
      <c r="J40" s="116">
        <v>4452</v>
      </c>
      <c r="K40" s="351">
        <v>0</v>
      </c>
      <c r="L40" s="351">
        <v>0</v>
      </c>
      <c r="M40" s="351">
        <v>0</v>
      </c>
      <c r="N40" s="351">
        <v>0</v>
      </c>
      <c r="O40" s="273">
        <v>0</v>
      </c>
      <c r="P40" s="274">
        <v>0</v>
      </c>
      <c r="Q40" s="274">
        <v>0</v>
      </c>
      <c r="R40" s="275">
        <v>0</v>
      </c>
      <c r="S40" s="20"/>
    </row>
    <row r="41" spans="2:19" ht="15" thickBot="1">
      <c r="B41" s="109" t="s">
        <v>147</v>
      </c>
      <c r="C41" s="127">
        <f t="shared" ref="C41:M41" si="7">SUM(C38:C40)</f>
        <v>52911</v>
      </c>
      <c r="D41" s="127">
        <f t="shared" si="7"/>
        <v>17686</v>
      </c>
      <c r="E41" s="127">
        <f t="shared" si="7"/>
        <v>19195</v>
      </c>
      <c r="F41" s="127">
        <f t="shared" si="7"/>
        <v>101474</v>
      </c>
      <c r="G41" s="129">
        <f t="shared" si="7"/>
        <v>74973</v>
      </c>
      <c r="H41" s="129">
        <f t="shared" si="7"/>
        <v>103590</v>
      </c>
      <c r="I41" s="128">
        <f t="shared" si="7"/>
        <v>129256</v>
      </c>
      <c r="J41" s="129">
        <f t="shared" si="7"/>
        <v>113633</v>
      </c>
      <c r="K41" s="130">
        <f t="shared" si="7"/>
        <v>94375</v>
      </c>
      <c r="L41" s="131">
        <f t="shared" si="7"/>
        <v>81195</v>
      </c>
      <c r="M41" s="131">
        <f t="shared" si="7"/>
        <v>85888</v>
      </c>
      <c r="N41" s="203">
        <f t="shared" ref="N41" si="8">SUM(N38:N40)</f>
        <v>89700</v>
      </c>
      <c r="O41" s="276">
        <f t="shared" ref="O41:Q41" si="9">SUM(O38:O40)</f>
        <v>102164</v>
      </c>
      <c r="P41" s="277">
        <f t="shared" si="9"/>
        <v>0</v>
      </c>
      <c r="Q41" s="277">
        <f t="shared" si="9"/>
        <v>0</v>
      </c>
      <c r="R41" s="278">
        <f t="shared" ref="R41" si="10">SUM(R38:R40)</f>
        <v>0</v>
      </c>
      <c r="S41" s="20"/>
    </row>
    <row r="42" spans="2:19" ht="15" thickTop="1">
      <c r="B42" s="47"/>
      <c r="C42" s="73"/>
      <c r="D42" s="73"/>
      <c r="E42" s="73"/>
      <c r="F42" s="73"/>
      <c r="G42" s="74"/>
      <c r="H42" s="74"/>
      <c r="I42" s="117"/>
      <c r="J42" s="74"/>
      <c r="K42" s="118"/>
      <c r="L42" s="75"/>
      <c r="M42" s="119"/>
      <c r="N42" s="75"/>
      <c r="O42" s="279"/>
      <c r="P42" s="268"/>
      <c r="Q42" s="280"/>
      <c r="R42" s="268"/>
      <c r="S42" s="20"/>
    </row>
    <row r="43" spans="2:19">
      <c r="B43" s="47"/>
      <c r="C43" s="69"/>
      <c r="D43" s="163"/>
      <c r="E43" s="163"/>
      <c r="F43" s="163"/>
      <c r="G43" s="164"/>
      <c r="H43" s="70"/>
      <c r="I43" s="93"/>
      <c r="J43" s="70"/>
      <c r="K43" s="119"/>
      <c r="L43" s="71"/>
      <c r="M43" s="94"/>
      <c r="N43" s="71"/>
      <c r="O43" s="281"/>
      <c r="P43" s="282"/>
      <c r="Q43" s="283"/>
      <c r="R43" s="282"/>
      <c r="S43" s="25"/>
    </row>
    <row r="44" spans="2:19" ht="49.75" customHeight="1">
      <c r="B44" s="369" t="s">
        <v>151</v>
      </c>
      <c r="C44" s="369"/>
      <c r="D44" s="369"/>
      <c r="E44" s="369"/>
      <c r="F44" s="369"/>
      <c r="G44" s="369"/>
      <c r="H44" s="369"/>
      <c r="I44" s="369"/>
      <c r="J44" s="369"/>
      <c r="K44" s="369"/>
      <c r="L44" s="369"/>
      <c r="M44" s="369"/>
      <c r="N44" s="369"/>
      <c r="O44" s="369"/>
      <c r="P44" s="369"/>
      <c r="Q44" s="369"/>
      <c r="R44" s="370"/>
      <c r="S44" s="25"/>
    </row>
    <row r="47" spans="2:19">
      <c r="C47" s="350"/>
      <c r="D47" s="350"/>
      <c r="E47" s="350"/>
      <c r="F47" s="350"/>
      <c r="G47" s="350"/>
      <c r="H47" s="350"/>
      <c r="I47" s="350"/>
      <c r="J47" s="350"/>
      <c r="K47" s="350"/>
      <c r="L47" s="350"/>
      <c r="M47" s="350"/>
      <c r="N47" s="350"/>
      <c r="O47" s="350"/>
    </row>
    <row r="48" spans="2:19">
      <c r="C48" s="18"/>
      <c r="D48" s="18"/>
      <c r="E48" s="18"/>
      <c r="F48" s="18"/>
      <c r="G48" s="18"/>
      <c r="H48" s="18"/>
      <c r="I48" s="18"/>
      <c r="J48" s="18"/>
      <c r="K48" s="18"/>
      <c r="L48" s="18"/>
      <c r="M48" s="18"/>
      <c r="N48" s="18"/>
      <c r="O48" s="18"/>
    </row>
  </sheetData>
  <mergeCells count="5">
    <mergeCell ref="C3:F3"/>
    <mergeCell ref="G3:J3"/>
    <mergeCell ref="K3:N3"/>
    <mergeCell ref="O3:R3"/>
    <mergeCell ref="B44:R44"/>
  </mergeCells>
  <pageMargins left="0.7" right="0.7" top="0.75" bottom="0.75" header="0.3" footer="0.3"/>
  <pageSetup paperSize="9" scale="55" orientation="landscape" horizontalDpi="1200" verticalDpi="120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S15"/>
  <sheetViews>
    <sheetView view="pageBreakPreview" zoomScale="80" zoomScaleNormal="100" zoomScaleSheetLayoutView="80" workbookViewId="0">
      <selection activeCell="B15" sqref="B15:S15"/>
    </sheetView>
  </sheetViews>
  <sheetFormatPr defaultRowHeight="14.5"/>
  <cols>
    <col min="1" max="1" width="2.453125" customWidth="1"/>
    <col min="2" max="2" width="46" customWidth="1"/>
    <col min="3" max="18" width="10.54296875" customWidth="1"/>
    <col min="19" max="19" width="3" customWidth="1"/>
  </cols>
  <sheetData>
    <row r="1" spans="2:19" ht="15" thickBot="1"/>
    <row r="2" spans="2:19" ht="16" thickBot="1">
      <c r="B2" s="174" t="s">
        <v>94</v>
      </c>
      <c r="C2" s="26"/>
      <c r="D2" s="26"/>
      <c r="E2" s="26"/>
      <c r="F2" s="26"/>
      <c r="G2" s="26"/>
      <c r="H2" s="26"/>
      <c r="I2" s="26"/>
      <c r="J2" s="26"/>
      <c r="K2" s="26"/>
      <c r="L2" s="26"/>
      <c r="M2" s="26"/>
      <c r="N2" s="26"/>
      <c r="O2" s="264"/>
      <c r="P2" s="264"/>
      <c r="Q2" s="264"/>
      <c r="R2" s="264"/>
      <c r="S2" s="20"/>
    </row>
    <row r="3" spans="2:19" ht="15" thickBot="1">
      <c r="B3" s="63" t="s">
        <v>27</v>
      </c>
      <c r="C3" s="363">
        <v>2016</v>
      </c>
      <c r="D3" s="355"/>
      <c r="E3" s="355"/>
      <c r="F3" s="356"/>
      <c r="G3" s="357">
        <v>2017</v>
      </c>
      <c r="H3" s="358"/>
      <c r="I3" s="358"/>
      <c r="J3" s="359"/>
      <c r="K3" s="360">
        <v>2018</v>
      </c>
      <c r="L3" s="361"/>
      <c r="M3" s="361"/>
      <c r="N3" s="362"/>
      <c r="O3" s="365">
        <v>2019</v>
      </c>
      <c r="P3" s="366"/>
      <c r="Q3" s="366"/>
      <c r="R3" s="367"/>
      <c r="S3" s="88"/>
    </row>
    <row r="4" spans="2:19" ht="15" thickBot="1">
      <c r="B4" s="8" t="s">
        <v>1</v>
      </c>
      <c r="C4" s="147" t="s">
        <v>2</v>
      </c>
      <c r="D4" s="147" t="s">
        <v>3</v>
      </c>
      <c r="E4" s="147" t="s">
        <v>4</v>
      </c>
      <c r="F4" s="148" t="s">
        <v>5</v>
      </c>
      <c r="G4" s="64" t="s">
        <v>2</v>
      </c>
      <c r="H4" s="64" t="s">
        <v>3</v>
      </c>
      <c r="I4" s="64" t="s">
        <v>4</v>
      </c>
      <c r="J4" s="65" t="s">
        <v>5</v>
      </c>
      <c r="K4" s="66" t="s">
        <v>2</v>
      </c>
      <c r="L4" s="66" t="s">
        <v>3</v>
      </c>
      <c r="M4" s="66" t="s">
        <v>4</v>
      </c>
      <c r="N4" s="67" t="s">
        <v>5</v>
      </c>
      <c r="O4" s="265" t="s">
        <v>2</v>
      </c>
      <c r="P4" s="265" t="s">
        <v>3</v>
      </c>
      <c r="Q4" s="265" t="s">
        <v>4</v>
      </c>
      <c r="R4" s="266" t="s">
        <v>5</v>
      </c>
      <c r="S4" s="88"/>
    </row>
    <row r="5" spans="2:19">
      <c r="B5" s="68"/>
      <c r="C5" s="69"/>
      <c r="D5" s="69"/>
      <c r="E5" s="69"/>
      <c r="F5" s="69"/>
      <c r="G5" s="70"/>
      <c r="H5" s="70"/>
      <c r="I5" s="70"/>
      <c r="J5" s="70"/>
      <c r="K5" s="71"/>
      <c r="L5" s="71"/>
      <c r="M5" s="71"/>
      <c r="N5" s="71"/>
      <c r="O5" s="267"/>
      <c r="P5" s="267"/>
      <c r="Q5" s="267"/>
      <c r="R5" s="267"/>
      <c r="S5" s="88"/>
    </row>
    <row r="6" spans="2:19">
      <c r="B6" s="72" t="s">
        <v>95</v>
      </c>
      <c r="C6" s="73">
        <v>-1423</v>
      </c>
      <c r="D6" s="73">
        <v>2219</v>
      </c>
      <c r="E6" s="73">
        <v>-625</v>
      </c>
      <c r="F6" s="73">
        <v>5824</v>
      </c>
      <c r="G6" s="74">
        <v>514</v>
      </c>
      <c r="H6" s="74">
        <v>-1728</v>
      </c>
      <c r="I6" s="74">
        <v>79</v>
      </c>
      <c r="J6" s="74">
        <v>-99</v>
      </c>
      <c r="K6" s="75">
        <v>804</v>
      </c>
      <c r="L6" s="75">
        <v>-1901</v>
      </c>
      <c r="M6" s="75">
        <v>-143</v>
      </c>
      <c r="N6" s="75">
        <v>4598</v>
      </c>
      <c r="O6" s="268">
        <v>-1047</v>
      </c>
      <c r="P6" s="268"/>
      <c r="Q6" s="268"/>
      <c r="R6" s="268"/>
      <c r="S6" s="88"/>
    </row>
    <row r="7" spans="2:19">
      <c r="B7" s="72" t="s">
        <v>96</v>
      </c>
      <c r="C7" s="73">
        <v>-1332</v>
      </c>
      <c r="D7" s="73">
        <v>-4429</v>
      </c>
      <c r="E7" s="73">
        <v>-2746</v>
      </c>
      <c r="F7" s="73">
        <v>1259</v>
      </c>
      <c r="G7" s="74">
        <v>2389</v>
      </c>
      <c r="H7" s="74">
        <v>-624</v>
      </c>
      <c r="I7" s="74">
        <v>-3111</v>
      </c>
      <c r="J7" s="74">
        <v>8777</v>
      </c>
      <c r="K7" s="75">
        <v>-1836</v>
      </c>
      <c r="L7" s="75">
        <v>5684</v>
      </c>
      <c r="M7" s="75">
        <v>-82</v>
      </c>
      <c r="N7" s="75">
        <v>3469</v>
      </c>
      <c r="O7" s="268">
        <v>-2403</v>
      </c>
      <c r="P7" s="268"/>
      <c r="Q7" s="268"/>
      <c r="R7" s="268"/>
      <c r="S7" s="88"/>
    </row>
    <row r="8" spans="2:19">
      <c r="B8" s="72" t="s">
        <v>97</v>
      </c>
      <c r="C8" s="73">
        <v>2180</v>
      </c>
      <c r="D8" s="73">
        <v>237</v>
      </c>
      <c r="E8" s="73">
        <v>78</v>
      </c>
      <c r="F8" s="73">
        <v>130</v>
      </c>
      <c r="G8" s="74">
        <v>0</v>
      </c>
      <c r="H8" s="74">
        <v>0</v>
      </c>
      <c r="I8" s="74">
        <v>0</v>
      </c>
      <c r="J8" s="74">
        <v>0</v>
      </c>
      <c r="K8" s="75">
        <v>0</v>
      </c>
      <c r="L8" s="75">
        <v>0</v>
      </c>
      <c r="M8" s="75">
        <v>0</v>
      </c>
      <c r="N8" s="75">
        <v>0</v>
      </c>
      <c r="O8" s="268">
        <v>0</v>
      </c>
      <c r="P8" s="268"/>
      <c r="Q8" s="268"/>
      <c r="R8" s="268"/>
      <c r="S8" s="88"/>
    </row>
    <row r="9" spans="2:19">
      <c r="B9" s="72" t="s">
        <v>98</v>
      </c>
      <c r="C9" s="73">
        <v>0</v>
      </c>
      <c r="D9" s="73">
        <v>12383</v>
      </c>
      <c r="E9" s="73">
        <v>0</v>
      </c>
      <c r="F9" s="73">
        <v>1740</v>
      </c>
      <c r="G9" s="74">
        <v>0</v>
      </c>
      <c r="H9" s="74">
        <v>0</v>
      </c>
      <c r="I9" s="74">
        <v>-4735</v>
      </c>
      <c r="J9" s="74">
        <v>462</v>
      </c>
      <c r="K9" s="75">
        <v>-175</v>
      </c>
      <c r="L9" s="75">
        <v>-9154</v>
      </c>
      <c r="M9" s="75">
        <v>-1111</v>
      </c>
      <c r="N9" s="75">
        <v>-11967</v>
      </c>
      <c r="O9" s="268">
        <v>-94</v>
      </c>
      <c r="P9" s="268"/>
      <c r="Q9" s="268"/>
      <c r="R9" s="268"/>
      <c r="S9" s="88"/>
    </row>
    <row r="10" spans="2:19">
      <c r="B10" s="72" t="s">
        <v>99</v>
      </c>
      <c r="C10" s="73">
        <v>293</v>
      </c>
      <c r="D10" s="73">
        <v>193</v>
      </c>
      <c r="E10" s="73">
        <v>43</v>
      </c>
      <c r="F10" s="73">
        <v>946</v>
      </c>
      <c r="G10" s="74">
        <v>1082</v>
      </c>
      <c r="H10" s="74">
        <v>660</v>
      </c>
      <c r="I10" s="74">
        <v>839</v>
      </c>
      <c r="J10" s="74">
        <v>937</v>
      </c>
      <c r="K10" s="75">
        <v>752</v>
      </c>
      <c r="L10" s="75">
        <v>332</v>
      </c>
      <c r="M10" s="75">
        <v>-213</v>
      </c>
      <c r="N10" s="75">
        <v>235</v>
      </c>
      <c r="O10" s="268">
        <v>59</v>
      </c>
      <c r="P10" s="268"/>
      <c r="Q10" s="268"/>
      <c r="R10" s="268"/>
      <c r="S10" s="88"/>
    </row>
    <row r="11" spans="2:19">
      <c r="B11" s="72" t="s">
        <v>100</v>
      </c>
      <c r="C11" s="73">
        <v>-2428</v>
      </c>
      <c r="D11" s="73">
        <v>-2789</v>
      </c>
      <c r="E11" s="73">
        <v>-3793</v>
      </c>
      <c r="F11" s="73">
        <v>-4474</v>
      </c>
      <c r="G11" s="74">
        <v>-3571</v>
      </c>
      <c r="H11" s="74">
        <v>-4502</v>
      </c>
      <c r="I11" s="74">
        <v>-4564</v>
      </c>
      <c r="J11" s="74">
        <v>-6558</v>
      </c>
      <c r="K11" s="75">
        <v>-4728</v>
      </c>
      <c r="L11" s="75">
        <v>-677</v>
      </c>
      <c r="M11" s="75">
        <v>-7518</v>
      </c>
      <c r="N11" s="75">
        <v>-1178</v>
      </c>
      <c r="O11" s="268">
        <v>-3640</v>
      </c>
      <c r="P11" s="268"/>
      <c r="Q11" s="268"/>
      <c r="R11" s="268"/>
      <c r="S11" s="88"/>
    </row>
    <row r="12" spans="2:19">
      <c r="B12" s="80" t="s">
        <v>101</v>
      </c>
      <c r="C12" s="81">
        <f t="shared" ref="C12:K12" si="0">SUM(C6:C11)</f>
        <v>-2710</v>
      </c>
      <c r="D12" s="81">
        <f t="shared" si="0"/>
        <v>7814</v>
      </c>
      <c r="E12" s="81">
        <f t="shared" si="0"/>
        <v>-7043</v>
      </c>
      <c r="F12" s="81">
        <f t="shared" si="0"/>
        <v>5425</v>
      </c>
      <c r="G12" s="82">
        <f t="shared" si="0"/>
        <v>414</v>
      </c>
      <c r="H12" s="82">
        <f t="shared" si="0"/>
        <v>-6194</v>
      </c>
      <c r="I12" s="82">
        <f t="shared" si="0"/>
        <v>-11492</v>
      </c>
      <c r="J12" s="82">
        <f t="shared" si="0"/>
        <v>3519</v>
      </c>
      <c r="K12" s="83">
        <f t="shared" si="0"/>
        <v>-5183</v>
      </c>
      <c r="L12" s="83">
        <f t="shared" ref="L12:O12" si="1">SUM(L6:L11)</f>
        <v>-5716</v>
      </c>
      <c r="M12" s="83">
        <f t="shared" si="1"/>
        <v>-9067</v>
      </c>
      <c r="N12" s="83">
        <f t="shared" si="1"/>
        <v>-4843</v>
      </c>
      <c r="O12" s="269">
        <f t="shared" si="1"/>
        <v>-7125</v>
      </c>
      <c r="P12" s="269">
        <f t="shared" ref="P12:R12" si="2">SUM(P6:P11)</f>
        <v>0</v>
      </c>
      <c r="Q12" s="269">
        <f t="shared" si="2"/>
        <v>0</v>
      </c>
      <c r="R12" s="269">
        <f t="shared" si="2"/>
        <v>0</v>
      </c>
      <c r="S12" s="88"/>
    </row>
    <row r="13" spans="2:19">
      <c r="B13" s="72"/>
      <c r="C13" s="73"/>
      <c r="D13" s="73"/>
      <c r="E13" s="73"/>
      <c r="F13" s="73"/>
      <c r="G13" s="74"/>
      <c r="H13" s="74"/>
      <c r="I13" s="74"/>
      <c r="J13" s="74"/>
      <c r="K13" s="75"/>
      <c r="L13" s="75"/>
      <c r="M13" s="75"/>
      <c r="N13" s="75"/>
      <c r="O13" s="268"/>
      <c r="P13" s="268"/>
      <c r="Q13" s="268"/>
      <c r="R13" s="268"/>
      <c r="S13" s="88"/>
    </row>
    <row r="14" spans="2:19">
      <c r="B14" s="144"/>
      <c r="C14" s="110"/>
      <c r="D14" s="110"/>
      <c r="E14" s="110"/>
      <c r="F14" s="110"/>
      <c r="G14" s="112"/>
      <c r="H14" s="112"/>
      <c r="I14" s="112"/>
      <c r="J14" s="112"/>
      <c r="K14" s="113"/>
      <c r="L14" s="113"/>
      <c r="M14" s="113"/>
      <c r="N14" s="113"/>
      <c r="O14" s="270"/>
      <c r="P14" s="270"/>
      <c r="Q14" s="270"/>
      <c r="R14" s="270"/>
      <c r="S14" s="87"/>
    </row>
    <row r="15" spans="2:19" ht="69.650000000000006" customHeight="1">
      <c r="B15" s="364" t="s">
        <v>150</v>
      </c>
      <c r="C15" s="364"/>
      <c r="D15" s="364"/>
      <c r="E15" s="364"/>
      <c r="F15" s="364"/>
      <c r="G15" s="364"/>
      <c r="H15" s="364"/>
      <c r="I15" s="364"/>
      <c r="J15" s="364"/>
      <c r="K15" s="364"/>
      <c r="L15" s="364"/>
      <c r="M15" s="364"/>
      <c r="N15" s="364"/>
      <c r="O15" s="364"/>
      <c r="P15" s="364"/>
      <c r="Q15" s="364"/>
      <c r="R15" s="364"/>
      <c r="S15" s="364"/>
    </row>
  </sheetData>
  <mergeCells count="5">
    <mergeCell ref="C3:F3"/>
    <mergeCell ref="G3:J3"/>
    <mergeCell ref="K3:N3"/>
    <mergeCell ref="B15:S15"/>
    <mergeCell ref="O3:R3"/>
  </mergeCells>
  <pageMargins left="0.70866141732283472" right="0.70866141732283472" top="0.74803149606299213" bottom="0.74803149606299213" header="0.31496062992125984" footer="0.31496062992125984"/>
  <pageSetup paperSize="9" scale="55"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S16"/>
  <sheetViews>
    <sheetView view="pageBreakPreview" zoomScale="80" zoomScaleNormal="100" zoomScaleSheetLayoutView="80" workbookViewId="0">
      <selection activeCell="B22" sqref="B22"/>
    </sheetView>
  </sheetViews>
  <sheetFormatPr defaultRowHeight="14.5"/>
  <cols>
    <col min="1" max="1" width="2.453125" customWidth="1"/>
    <col min="2" max="2" width="46" customWidth="1"/>
    <col min="3" max="18" width="10.54296875" customWidth="1"/>
    <col min="19" max="19" width="3" customWidth="1"/>
  </cols>
  <sheetData>
    <row r="1" spans="2:19" ht="15" thickBot="1"/>
    <row r="2" spans="2:19" ht="16" thickBot="1">
      <c r="B2" s="371" t="s">
        <v>149</v>
      </c>
      <c r="C2" s="372"/>
      <c r="D2" s="372"/>
      <c r="E2" s="372"/>
      <c r="F2" s="372"/>
      <c r="G2" s="372"/>
      <c r="H2" s="26"/>
      <c r="I2" s="26"/>
      <c r="J2" s="26"/>
      <c r="K2" s="26"/>
      <c r="L2" s="26"/>
      <c r="M2" s="26"/>
      <c r="N2" s="26"/>
      <c r="O2" s="264"/>
      <c r="P2" s="264"/>
      <c r="Q2" s="264"/>
      <c r="R2" s="264"/>
      <c r="S2" s="20"/>
    </row>
    <row r="3" spans="2:19" ht="15" thickBot="1">
      <c r="B3" s="63" t="s">
        <v>27</v>
      </c>
      <c r="C3" s="363">
        <v>2016</v>
      </c>
      <c r="D3" s="355"/>
      <c r="E3" s="355"/>
      <c r="F3" s="356"/>
      <c r="G3" s="357">
        <v>2017</v>
      </c>
      <c r="H3" s="358"/>
      <c r="I3" s="358"/>
      <c r="J3" s="359"/>
      <c r="K3" s="360">
        <v>2018</v>
      </c>
      <c r="L3" s="361"/>
      <c r="M3" s="361"/>
      <c r="N3" s="362"/>
      <c r="O3" s="365">
        <v>2019</v>
      </c>
      <c r="P3" s="366"/>
      <c r="Q3" s="366"/>
      <c r="R3" s="367"/>
      <c r="S3" s="88"/>
    </row>
    <row r="4" spans="2:19" ht="15" thickBot="1">
      <c r="B4" s="8" t="s">
        <v>1</v>
      </c>
      <c r="C4" s="147" t="s">
        <v>2</v>
      </c>
      <c r="D4" s="147" t="s">
        <v>3</v>
      </c>
      <c r="E4" s="147" t="s">
        <v>4</v>
      </c>
      <c r="F4" s="148" t="s">
        <v>5</v>
      </c>
      <c r="G4" s="64" t="s">
        <v>2</v>
      </c>
      <c r="H4" s="64" t="s">
        <v>3</v>
      </c>
      <c r="I4" s="64" t="s">
        <v>4</v>
      </c>
      <c r="J4" s="65" t="s">
        <v>5</v>
      </c>
      <c r="K4" s="66" t="s">
        <v>2</v>
      </c>
      <c r="L4" s="66" t="s">
        <v>3</v>
      </c>
      <c r="M4" s="66" t="s">
        <v>4</v>
      </c>
      <c r="N4" s="67" t="s">
        <v>5</v>
      </c>
      <c r="O4" s="265" t="s">
        <v>2</v>
      </c>
      <c r="P4" s="265" t="s">
        <v>3</v>
      </c>
      <c r="Q4" s="265" t="s">
        <v>4</v>
      </c>
      <c r="R4" s="266" t="s">
        <v>5</v>
      </c>
      <c r="S4" s="88"/>
    </row>
    <row r="5" spans="2:19">
      <c r="B5" s="68"/>
      <c r="C5" s="69"/>
      <c r="D5" s="69"/>
      <c r="E5" s="69"/>
      <c r="F5" s="69"/>
      <c r="G5" s="70"/>
      <c r="H5" s="70"/>
      <c r="I5" s="70"/>
      <c r="J5" s="70"/>
      <c r="K5" s="71"/>
      <c r="L5" s="71"/>
      <c r="M5" s="71"/>
      <c r="N5" s="71"/>
      <c r="O5" s="267"/>
      <c r="P5" s="267"/>
      <c r="Q5" s="267"/>
      <c r="R5" s="267"/>
      <c r="S5" s="88"/>
    </row>
    <row r="6" spans="2:19">
      <c r="B6" s="72" t="s">
        <v>90</v>
      </c>
      <c r="C6" s="73">
        <f>1123</f>
        <v>1123</v>
      </c>
      <c r="D6" s="73">
        <f>2895-1123</f>
        <v>1772</v>
      </c>
      <c r="E6" s="73">
        <f>4427-1123-1772</f>
        <v>1532</v>
      </c>
      <c r="F6" s="73">
        <f>6254-1123-1772-1532</f>
        <v>1827</v>
      </c>
      <c r="G6" s="74">
        <v>1472</v>
      </c>
      <c r="H6" s="74">
        <f>3930-1472</f>
        <v>2458</v>
      </c>
      <c r="I6" s="74">
        <f>5942-1472-2458</f>
        <v>2012</v>
      </c>
      <c r="J6" s="74">
        <f>7306-1472-2458-2012</f>
        <v>1364</v>
      </c>
      <c r="K6" s="75"/>
      <c r="L6" s="75"/>
      <c r="M6" s="75"/>
      <c r="N6" s="75"/>
      <c r="O6" s="268"/>
      <c r="P6" s="268"/>
      <c r="Q6" s="268"/>
      <c r="R6" s="268"/>
      <c r="S6" s="88"/>
    </row>
    <row r="7" spans="2:19">
      <c r="B7" s="72" t="s">
        <v>91</v>
      </c>
      <c r="C7" s="73">
        <f>-5242</f>
        <v>-5242</v>
      </c>
      <c r="D7" s="73">
        <f>-4709+5242</f>
        <v>533</v>
      </c>
      <c r="E7" s="73">
        <f>-15849+5242-533</f>
        <v>-11140</v>
      </c>
      <c r="F7" s="73">
        <f>-21246+5242-533+11140</f>
        <v>-5397</v>
      </c>
      <c r="G7" s="74">
        <v>-4082</v>
      </c>
      <c r="H7" s="74">
        <f>-7671+4082</f>
        <v>-3589</v>
      </c>
      <c r="I7" s="74">
        <f>-11817+4082+3589</f>
        <v>-4146</v>
      </c>
      <c r="J7" s="74">
        <f>-16646+4082+3589+4146</f>
        <v>-4829</v>
      </c>
      <c r="K7" s="75"/>
      <c r="L7" s="75"/>
      <c r="M7" s="75"/>
      <c r="N7" s="75"/>
      <c r="O7" s="268"/>
      <c r="P7" s="268"/>
      <c r="Q7" s="268"/>
      <c r="R7" s="268"/>
      <c r="S7" s="88"/>
    </row>
    <row r="8" spans="2:19">
      <c r="B8" s="72"/>
      <c r="C8" s="73"/>
      <c r="D8" s="73"/>
      <c r="E8" s="73"/>
      <c r="F8" s="73"/>
      <c r="G8" s="74"/>
      <c r="H8" s="74"/>
      <c r="I8" s="74"/>
      <c r="J8" s="74"/>
      <c r="K8" s="75"/>
      <c r="L8" s="75"/>
      <c r="M8" s="75"/>
      <c r="N8" s="75"/>
      <c r="O8" s="268"/>
      <c r="P8" s="268"/>
      <c r="Q8" s="268"/>
      <c r="R8" s="268"/>
      <c r="S8" s="88"/>
    </row>
    <row r="9" spans="2:19">
      <c r="B9" s="72" t="s">
        <v>11</v>
      </c>
      <c r="C9" s="73">
        <f>-C7-C12</f>
        <v>29761</v>
      </c>
      <c r="D9" s="73">
        <f t="shared" ref="D9:F9" si="0">-D7-D12</f>
        <v>29910</v>
      </c>
      <c r="E9" s="73">
        <f t="shared" si="0"/>
        <v>35928</v>
      </c>
      <c r="F9" s="73">
        <f t="shared" si="0"/>
        <v>25167</v>
      </c>
      <c r="G9" s="74">
        <f>-G7-G12</f>
        <v>22299</v>
      </c>
      <c r="H9" s="74">
        <f t="shared" ref="H9:J9" si="1">-H7-H12</f>
        <v>24314</v>
      </c>
      <c r="I9" s="74">
        <f t="shared" si="1"/>
        <v>27544</v>
      </c>
      <c r="J9" s="74">
        <f t="shared" si="1"/>
        <v>29777</v>
      </c>
      <c r="K9" s="75"/>
      <c r="L9" s="75"/>
      <c r="M9" s="75"/>
      <c r="N9" s="75"/>
      <c r="O9" s="268"/>
      <c r="P9" s="268"/>
      <c r="Q9" s="268"/>
      <c r="R9" s="268"/>
      <c r="S9" s="88"/>
    </row>
    <row r="10" spans="2:19">
      <c r="B10" s="72"/>
      <c r="C10" s="73"/>
      <c r="D10" s="73"/>
      <c r="E10" s="73"/>
      <c r="F10" s="73"/>
      <c r="G10" s="74"/>
      <c r="H10" s="74"/>
      <c r="I10" s="74"/>
      <c r="J10" s="74"/>
      <c r="K10" s="75"/>
      <c r="L10" s="75"/>
      <c r="M10" s="75"/>
      <c r="N10" s="75"/>
      <c r="O10" s="268"/>
      <c r="P10" s="268"/>
      <c r="Q10" s="268"/>
      <c r="R10" s="268"/>
      <c r="S10" s="88"/>
    </row>
    <row r="11" spans="2:19">
      <c r="B11" s="72" t="s">
        <v>92</v>
      </c>
      <c r="C11" s="73">
        <f t="shared" ref="C11:F11" si="2">-C6</f>
        <v>-1123</v>
      </c>
      <c r="D11" s="73">
        <f t="shared" si="2"/>
        <v>-1772</v>
      </c>
      <c r="E11" s="73">
        <f t="shared" si="2"/>
        <v>-1532</v>
      </c>
      <c r="F11" s="73">
        <f t="shared" si="2"/>
        <v>-1827</v>
      </c>
      <c r="G11" s="74">
        <f>-G6</f>
        <v>-1472</v>
      </c>
      <c r="H11" s="74">
        <f>-H6</f>
        <v>-2458</v>
      </c>
      <c r="I11" s="74">
        <f t="shared" ref="I11:J11" si="3">-I6</f>
        <v>-2012</v>
      </c>
      <c r="J11" s="74">
        <f t="shared" si="3"/>
        <v>-1364</v>
      </c>
      <c r="K11" s="75"/>
      <c r="L11" s="75"/>
      <c r="M11" s="75"/>
      <c r="N11" s="75"/>
      <c r="O11" s="268"/>
      <c r="P11" s="268"/>
      <c r="Q11" s="268"/>
      <c r="R11" s="268"/>
      <c r="S11" s="88"/>
    </row>
    <row r="12" spans="2:19">
      <c r="B12" s="72" t="s">
        <v>93</v>
      </c>
      <c r="C12" s="73">
        <v>-24519</v>
      </c>
      <c r="D12" s="73">
        <v>-30443</v>
      </c>
      <c r="E12" s="73">
        <v>-24788</v>
      </c>
      <c r="F12" s="73">
        <v>-19770</v>
      </c>
      <c r="G12" s="74">
        <v>-18217</v>
      </c>
      <c r="H12" s="74">
        <v>-20725</v>
      </c>
      <c r="I12" s="74">
        <v>-23398</v>
      </c>
      <c r="J12" s="74">
        <v>-24948</v>
      </c>
      <c r="K12" s="75"/>
      <c r="L12" s="75"/>
      <c r="M12" s="75"/>
      <c r="N12" s="75"/>
      <c r="O12" s="268"/>
      <c r="P12" s="268"/>
      <c r="Q12" s="268"/>
      <c r="R12" s="268"/>
      <c r="S12" s="88"/>
    </row>
    <row r="13" spans="2:19">
      <c r="B13" s="80" t="s">
        <v>89</v>
      </c>
      <c r="C13" s="81">
        <f t="shared" ref="C13:F13" si="4">SUM(C6:C12)</f>
        <v>0</v>
      </c>
      <c r="D13" s="81">
        <f t="shared" si="4"/>
        <v>0</v>
      </c>
      <c r="E13" s="81">
        <f t="shared" si="4"/>
        <v>0</v>
      </c>
      <c r="F13" s="81">
        <f t="shared" si="4"/>
        <v>0</v>
      </c>
      <c r="G13" s="82">
        <f>SUM(G6:G12)</f>
        <v>0</v>
      </c>
      <c r="H13" s="82">
        <f t="shared" ref="H13:J13" si="5">SUM(H6:H12)</f>
        <v>0</v>
      </c>
      <c r="I13" s="82">
        <f t="shared" si="5"/>
        <v>0</v>
      </c>
      <c r="J13" s="82">
        <f t="shared" si="5"/>
        <v>0</v>
      </c>
      <c r="K13" s="83"/>
      <c r="L13" s="83"/>
      <c r="M13" s="83"/>
      <c r="N13" s="83"/>
      <c r="O13" s="269"/>
      <c r="P13" s="269"/>
      <c r="Q13" s="269"/>
      <c r="R13" s="269"/>
      <c r="S13" s="88"/>
    </row>
    <row r="14" spans="2:19">
      <c r="B14" s="72"/>
      <c r="C14" s="73"/>
      <c r="D14" s="73"/>
      <c r="E14" s="73"/>
      <c r="F14" s="73"/>
      <c r="G14" s="74"/>
      <c r="H14" s="74"/>
      <c r="I14" s="74"/>
      <c r="J14" s="74"/>
      <c r="K14" s="75"/>
      <c r="L14" s="75"/>
      <c r="M14" s="75"/>
      <c r="N14" s="75"/>
      <c r="O14" s="268"/>
      <c r="P14" s="268"/>
      <c r="Q14" s="268"/>
      <c r="R14" s="268"/>
      <c r="S14" s="88"/>
    </row>
    <row r="15" spans="2:19">
      <c r="B15" s="144"/>
      <c r="C15" s="110"/>
      <c r="D15" s="110"/>
      <c r="E15" s="110"/>
      <c r="F15" s="110"/>
      <c r="G15" s="112"/>
      <c r="H15" s="112"/>
      <c r="I15" s="112"/>
      <c r="J15" s="112"/>
      <c r="K15" s="113"/>
      <c r="L15" s="113"/>
      <c r="M15" s="113"/>
      <c r="N15" s="113"/>
      <c r="O15" s="270"/>
      <c r="P15" s="270"/>
      <c r="Q15" s="270"/>
      <c r="R15" s="270"/>
      <c r="S15" s="87"/>
    </row>
    <row r="16" spans="2:19" ht="69.650000000000006" customHeight="1">
      <c r="B16" s="364" t="s">
        <v>148</v>
      </c>
      <c r="C16" s="364"/>
      <c r="D16" s="364"/>
      <c r="E16" s="364"/>
      <c r="F16" s="364"/>
      <c r="G16" s="364"/>
      <c r="H16" s="364"/>
      <c r="I16" s="364"/>
      <c r="J16" s="364"/>
      <c r="K16" s="364"/>
      <c r="L16" s="364"/>
      <c r="M16" s="364"/>
      <c r="N16" s="364"/>
      <c r="O16" s="364"/>
      <c r="P16" s="364"/>
      <c r="Q16" s="364"/>
      <c r="R16" s="364"/>
      <c r="S16" s="364"/>
    </row>
  </sheetData>
  <mergeCells count="6">
    <mergeCell ref="B2:G2"/>
    <mergeCell ref="C3:F3"/>
    <mergeCell ref="G3:J3"/>
    <mergeCell ref="K3:N3"/>
    <mergeCell ref="B16:S16"/>
    <mergeCell ref="O3:R3"/>
  </mergeCells>
  <pageMargins left="0.7" right="0.7" top="0.75" bottom="0.75" header="0.3" footer="0.3"/>
  <pageSetup paperSize="9" scale="5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46"/>
  <sheetViews>
    <sheetView view="pageBreakPreview" zoomScale="80" zoomScaleNormal="100" zoomScaleSheetLayoutView="80" workbookViewId="0">
      <selection activeCell="M37" sqref="M37"/>
    </sheetView>
  </sheetViews>
  <sheetFormatPr defaultRowHeight="14.5"/>
  <cols>
    <col min="1" max="1" width="2.453125" customWidth="1"/>
    <col min="2" max="2" width="24.90625" customWidth="1"/>
    <col min="3" max="18" width="10.54296875" customWidth="1"/>
    <col min="19" max="19" width="3" customWidth="1"/>
  </cols>
  <sheetData>
    <row r="1" spans="2:21" ht="15" thickBot="1"/>
    <row r="2" spans="2:21" ht="16" thickBot="1">
      <c r="B2" s="1" t="s">
        <v>0</v>
      </c>
      <c r="C2" s="11"/>
      <c r="D2" s="11"/>
      <c r="E2" s="11"/>
      <c r="F2" s="11"/>
      <c r="G2" s="11"/>
      <c r="H2" s="11"/>
      <c r="I2" s="11"/>
      <c r="J2" s="11"/>
      <c r="K2" s="11"/>
      <c r="L2" s="11"/>
      <c r="M2" s="11"/>
      <c r="N2" s="12"/>
      <c r="O2" s="218"/>
      <c r="P2" s="218"/>
      <c r="Q2" s="218"/>
      <c r="R2" s="218"/>
      <c r="S2" s="13"/>
      <c r="U2" s="13"/>
    </row>
    <row r="3" spans="2:21" ht="15" thickBot="1">
      <c r="B3" s="132"/>
      <c r="C3" s="363">
        <v>2016</v>
      </c>
      <c r="D3" s="355"/>
      <c r="E3" s="355"/>
      <c r="F3" s="356"/>
      <c r="G3" s="357">
        <v>2017</v>
      </c>
      <c r="H3" s="358"/>
      <c r="I3" s="358"/>
      <c r="J3" s="359"/>
      <c r="K3" s="360">
        <v>2018</v>
      </c>
      <c r="L3" s="361"/>
      <c r="M3" s="361"/>
      <c r="N3" s="362"/>
      <c r="O3" s="365">
        <v>2019</v>
      </c>
      <c r="P3" s="366"/>
      <c r="Q3" s="366"/>
      <c r="R3" s="367"/>
      <c r="S3" s="13"/>
      <c r="U3" s="13"/>
    </row>
    <row r="4" spans="2:21" ht="15" thickBot="1">
      <c r="B4" s="8" t="s">
        <v>1</v>
      </c>
      <c r="C4" s="147" t="s">
        <v>2</v>
      </c>
      <c r="D4" s="147" t="s">
        <v>3</v>
      </c>
      <c r="E4" s="147" t="s">
        <v>4</v>
      </c>
      <c r="F4" s="148" t="s">
        <v>5</v>
      </c>
      <c r="G4" s="64" t="s">
        <v>2</v>
      </c>
      <c r="H4" s="64" t="s">
        <v>3</v>
      </c>
      <c r="I4" s="64" t="s">
        <v>4</v>
      </c>
      <c r="J4" s="65" t="s">
        <v>5</v>
      </c>
      <c r="K4" s="66" t="s">
        <v>2</v>
      </c>
      <c r="L4" s="66" t="s">
        <v>3</v>
      </c>
      <c r="M4" s="66" t="s">
        <v>4</v>
      </c>
      <c r="N4" s="67" t="s">
        <v>5</v>
      </c>
      <c r="O4" s="265" t="s">
        <v>2</v>
      </c>
      <c r="P4" s="265" t="s">
        <v>3</v>
      </c>
      <c r="Q4" s="265" t="s">
        <v>4</v>
      </c>
      <c r="R4" s="266" t="s">
        <v>5</v>
      </c>
      <c r="S4" s="13"/>
      <c r="U4" s="13"/>
    </row>
    <row r="5" spans="2:21">
      <c r="B5" s="72" t="s">
        <v>6</v>
      </c>
      <c r="C5" s="73">
        <f>93185-21</f>
        <v>93164</v>
      </c>
      <c r="D5" s="73">
        <f>101129+128</f>
        <v>101257</v>
      </c>
      <c r="E5" s="73">
        <f>91678-3898</f>
        <v>87780</v>
      </c>
      <c r="F5" s="73">
        <f>90326+3794</f>
        <v>94120</v>
      </c>
      <c r="G5" s="74">
        <v>89777</v>
      </c>
      <c r="H5" s="74">
        <f>104553+1</f>
        <v>104554</v>
      </c>
      <c r="I5" s="74">
        <f>115418+1</f>
        <v>115419</v>
      </c>
      <c r="J5" s="74">
        <v>136159</v>
      </c>
      <c r="K5" s="75">
        <f>102247+1</f>
        <v>102248</v>
      </c>
      <c r="L5" s="75">
        <f>82985+1</f>
        <v>82986</v>
      </c>
      <c r="M5" s="75">
        <f>91533-2</f>
        <v>91531</v>
      </c>
      <c r="N5" s="75">
        <v>99394</v>
      </c>
      <c r="O5" s="268">
        <f>95760-1</f>
        <v>95759</v>
      </c>
      <c r="P5" s="268"/>
      <c r="Q5" s="268"/>
      <c r="R5" s="268"/>
      <c r="S5" s="13"/>
      <c r="U5" s="13"/>
    </row>
    <row r="6" spans="2:21">
      <c r="B6" s="96" t="s">
        <v>7</v>
      </c>
      <c r="C6" s="73">
        <v>14251</v>
      </c>
      <c r="D6" s="73">
        <v>28335</v>
      </c>
      <c r="E6" s="73">
        <v>27993</v>
      </c>
      <c r="F6" s="73">
        <v>13243</v>
      </c>
      <c r="G6" s="74">
        <v>15306</v>
      </c>
      <c r="H6" s="74">
        <v>12433</v>
      </c>
      <c r="I6" s="74">
        <v>21725</v>
      </c>
      <c r="J6" s="74">
        <v>19491</v>
      </c>
      <c r="K6" s="75">
        <v>11851</v>
      </c>
      <c r="L6" s="75">
        <v>16161</v>
      </c>
      <c r="M6" s="75">
        <v>18976</v>
      </c>
      <c r="N6" s="75">
        <v>7198</v>
      </c>
      <c r="O6" s="268">
        <v>10353</v>
      </c>
      <c r="P6" s="268"/>
      <c r="Q6" s="268"/>
      <c r="R6" s="268"/>
      <c r="S6" s="13"/>
      <c r="U6" s="13"/>
    </row>
    <row r="7" spans="2:21">
      <c r="B7" s="170" t="s">
        <v>8</v>
      </c>
      <c r="C7" s="77">
        <v>23718</v>
      </c>
      <c r="D7" s="77">
        <v>28858</v>
      </c>
      <c r="E7" s="77">
        <v>16213</v>
      </c>
      <c r="F7" s="77">
        <v>48507</v>
      </c>
      <c r="G7" s="78">
        <v>21352</v>
      </c>
      <c r="H7" s="78">
        <v>27190</v>
      </c>
      <c r="I7" s="78">
        <v>21155</v>
      </c>
      <c r="J7" s="78">
        <v>16250</v>
      </c>
      <c r="K7" s="79">
        <v>12338</v>
      </c>
      <c r="L7" s="79">
        <v>17920</v>
      </c>
      <c r="M7" s="79">
        <v>6913</v>
      </c>
      <c r="N7" s="79">
        <v>13932</v>
      </c>
      <c r="O7" s="296">
        <v>20193</v>
      </c>
      <c r="P7" s="296"/>
      <c r="Q7" s="296"/>
      <c r="R7" s="296"/>
      <c r="S7" s="13"/>
      <c r="U7" s="13"/>
    </row>
    <row r="8" spans="2:21">
      <c r="B8" s="138" t="s">
        <v>9</v>
      </c>
      <c r="C8" s="81">
        <f t="shared" ref="C8:F8" si="0">SUM(C5:C7)</f>
        <v>131133</v>
      </c>
      <c r="D8" s="81">
        <f t="shared" si="0"/>
        <v>158450</v>
      </c>
      <c r="E8" s="81">
        <f t="shared" si="0"/>
        <v>131986</v>
      </c>
      <c r="F8" s="81">
        <f t="shared" si="0"/>
        <v>155870</v>
      </c>
      <c r="G8" s="82">
        <f t="shared" ref="G8:N8" si="1">SUM(G5:G7)</f>
        <v>126435</v>
      </c>
      <c r="H8" s="82">
        <f t="shared" si="1"/>
        <v>144177</v>
      </c>
      <c r="I8" s="82">
        <f t="shared" si="1"/>
        <v>158299</v>
      </c>
      <c r="J8" s="82">
        <f t="shared" si="1"/>
        <v>171900</v>
      </c>
      <c r="K8" s="83">
        <f t="shared" si="1"/>
        <v>126437</v>
      </c>
      <c r="L8" s="83">
        <f t="shared" si="1"/>
        <v>117067</v>
      </c>
      <c r="M8" s="83">
        <f t="shared" si="1"/>
        <v>117420</v>
      </c>
      <c r="N8" s="83">
        <f t="shared" si="1"/>
        <v>120524</v>
      </c>
      <c r="O8" s="269">
        <f t="shared" ref="O8:R8" si="2">SUM(O5:O7)</f>
        <v>126305</v>
      </c>
      <c r="P8" s="269">
        <f t="shared" si="2"/>
        <v>0</v>
      </c>
      <c r="Q8" s="269">
        <f t="shared" si="2"/>
        <v>0</v>
      </c>
      <c r="R8" s="269">
        <f t="shared" si="2"/>
        <v>0</v>
      </c>
      <c r="S8" s="13"/>
      <c r="U8" s="13"/>
    </row>
    <row r="9" spans="2:21">
      <c r="B9" s="92"/>
      <c r="C9" s="69"/>
      <c r="D9" s="182"/>
      <c r="E9" s="156"/>
      <c r="F9" s="182"/>
      <c r="G9" s="93"/>
      <c r="H9" s="183"/>
      <c r="I9" s="93"/>
      <c r="J9" s="183"/>
      <c r="K9" s="94"/>
      <c r="L9" s="177"/>
      <c r="M9" s="94"/>
      <c r="N9" s="177"/>
      <c r="O9" s="271"/>
      <c r="P9" s="287"/>
      <c r="Q9" s="271"/>
      <c r="R9" s="287"/>
      <c r="S9" s="13"/>
      <c r="U9" s="13"/>
    </row>
    <row r="10" spans="2:21">
      <c r="B10" s="47" t="s">
        <v>10</v>
      </c>
      <c r="C10" s="73">
        <f>34628-1</f>
        <v>34627</v>
      </c>
      <c r="D10" s="73">
        <f>41709+1</f>
        <v>41710</v>
      </c>
      <c r="E10" s="158">
        <f>19610-1</f>
        <v>19609</v>
      </c>
      <c r="F10" s="73">
        <v>51750</v>
      </c>
      <c r="G10" s="117">
        <f>39746-459</f>
        <v>39287</v>
      </c>
      <c r="H10" s="74">
        <f>47763-871</f>
        <v>46892</v>
      </c>
      <c r="I10" s="117">
        <f>32154+338</f>
        <v>32492</v>
      </c>
      <c r="J10" s="74">
        <f>37325+2</f>
        <v>37327</v>
      </c>
      <c r="K10" s="119">
        <v>21781</v>
      </c>
      <c r="L10" s="75">
        <v>35799</v>
      </c>
      <c r="M10" s="119">
        <f>32014+1</f>
        <v>32015</v>
      </c>
      <c r="N10" s="75">
        <f>24077+922</f>
        <v>24999</v>
      </c>
      <c r="O10" s="280">
        <f>42126-1</f>
        <v>42125</v>
      </c>
      <c r="P10" s="268"/>
      <c r="Q10" s="280"/>
      <c r="R10" s="268"/>
      <c r="S10" s="14"/>
      <c r="U10" s="14"/>
    </row>
    <row r="11" spans="2:21">
      <c r="B11" s="47" t="s">
        <v>133</v>
      </c>
      <c r="C11" s="73">
        <v>24168</v>
      </c>
      <c r="D11" s="73">
        <v>23750</v>
      </c>
      <c r="E11" s="158">
        <v>28537</v>
      </c>
      <c r="F11" s="73">
        <v>19359</v>
      </c>
      <c r="G11" s="117">
        <v>15926</v>
      </c>
      <c r="H11" s="74">
        <f>17236+314</f>
        <v>17550</v>
      </c>
      <c r="I11" s="117">
        <f>17948-314</f>
        <v>17634</v>
      </c>
      <c r="J11" s="74">
        <f>21135+2</f>
        <v>21137</v>
      </c>
      <c r="K11" s="119">
        <f>17574-1</f>
        <v>17573</v>
      </c>
      <c r="L11" s="75">
        <v>9759</v>
      </c>
      <c r="M11" s="119">
        <f>14110+2</f>
        <v>14112</v>
      </c>
      <c r="N11" s="75">
        <f>18433+3</f>
        <v>18436</v>
      </c>
      <c r="O11" s="280">
        <v>15717</v>
      </c>
      <c r="P11" s="268"/>
      <c r="Q11" s="280"/>
      <c r="R11" s="268"/>
      <c r="S11" s="14"/>
      <c r="U11" s="14"/>
    </row>
    <row r="12" spans="2:21">
      <c r="B12" s="136" t="s">
        <v>12</v>
      </c>
      <c r="C12" s="81">
        <f t="shared" ref="C12:F12" si="3">C8-C10-C11</f>
        <v>72338</v>
      </c>
      <c r="D12" s="81">
        <f t="shared" si="3"/>
        <v>92990</v>
      </c>
      <c r="E12" s="184">
        <f t="shared" si="3"/>
        <v>83840</v>
      </c>
      <c r="F12" s="81">
        <f t="shared" si="3"/>
        <v>84761</v>
      </c>
      <c r="G12" s="185">
        <f t="shared" ref="G12:N12" si="4">G8-G10-G11</f>
        <v>71222</v>
      </c>
      <c r="H12" s="82">
        <f t="shared" si="4"/>
        <v>79735</v>
      </c>
      <c r="I12" s="185">
        <f t="shared" si="4"/>
        <v>108173</v>
      </c>
      <c r="J12" s="82">
        <f t="shared" si="4"/>
        <v>113436</v>
      </c>
      <c r="K12" s="186">
        <f t="shared" si="4"/>
        <v>87083</v>
      </c>
      <c r="L12" s="83">
        <f t="shared" si="4"/>
        <v>71509</v>
      </c>
      <c r="M12" s="186">
        <f t="shared" si="4"/>
        <v>71293</v>
      </c>
      <c r="N12" s="83">
        <f t="shared" si="4"/>
        <v>77089</v>
      </c>
      <c r="O12" s="312">
        <f t="shared" ref="O12:R12" si="5">O8-O10-O11</f>
        <v>68463</v>
      </c>
      <c r="P12" s="269">
        <f t="shared" si="5"/>
        <v>0</v>
      </c>
      <c r="Q12" s="312">
        <f t="shared" si="5"/>
        <v>0</v>
      </c>
      <c r="R12" s="269">
        <f t="shared" si="5"/>
        <v>0</v>
      </c>
      <c r="S12" s="14"/>
      <c r="U12" s="14"/>
    </row>
    <row r="13" spans="2:21">
      <c r="B13" s="47" t="s">
        <v>13</v>
      </c>
      <c r="C13" s="48">
        <f t="shared" ref="C13:F13" si="6">C12/C8</f>
        <v>0.55163841290903126</v>
      </c>
      <c r="D13" s="48">
        <f t="shared" si="6"/>
        <v>0.58687283054591355</v>
      </c>
      <c r="E13" s="102">
        <f t="shared" si="6"/>
        <v>0.63521888685163574</v>
      </c>
      <c r="F13" s="48">
        <f t="shared" si="6"/>
        <v>0.54379290434336303</v>
      </c>
      <c r="G13" s="49">
        <f t="shared" ref="G13:N13" si="7">G12/G8</f>
        <v>0.56330921026614467</v>
      </c>
      <c r="H13" s="50">
        <f t="shared" si="7"/>
        <v>0.55303550496958598</v>
      </c>
      <c r="I13" s="49">
        <f t="shared" si="7"/>
        <v>0.68334607293792127</v>
      </c>
      <c r="J13" s="50">
        <f t="shared" si="7"/>
        <v>0.65989528795811514</v>
      </c>
      <c r="K13" s="51">
        <f t="shared" si="7"/>
        <v>0.68874617398388127</v>
      </c>
      <c r="L13" s="52">
        <f t="shared" si="7"/>
        <v>0.61083823793212433</v>
      </c>
      <c r="M13" s="51">
        <f t="shared" si="7"/>
        <v>0.60716232328393804</v>
      </c>
      <c r="N13" s="52">
        <f t="shared" si="7"/>
        <v>0.63961534632106465</v>
      </c>
      <c r="O13" s="313">
        <f t="shared" ref="O13:R13" si="8">O12/O8</f>
        <v>0.54204504968132694</v>
      </c>
      <c r="P13" s="301" t="e">
        <f t="shared" si="8"/>
        <v>#DIV/0!</v>
      </c>
      <c r="Q13" s="313" t="e">
        <f t="shared" si="8"/>
        <v>#DIV/0!</v>
      </c>
      <c r="R13" s="301" t="e">
        <f t="shared" si="8"/>
        <v>#DIV/0!</v>
      </c>
      <c r="S13" s="14"/>
      <c r="U13" s="14"/>
    </row>
    <row r="14" spans="2:21">
      <c r="B14" s="137"/>
      <c r="C14" s="97"/>
      <c r="D14" s="97"/>
      <c r="E14" s="145"/>
      <c r="F14" s="97"/>
      <c r="G14" s="98"/>
      <c r="H14" s="99"/>
      <c r="I14" s="98"/>
      <c r="J14" s="99"/>
      <c r="K14" s="100"/>
      <c r="L14" s="101"/>
      <c r="M14" s="100"/>
      <c r="N14" s="101"/>
      <c r="O14" s="314"/>
      <c r="P14" s="315"/>
      <c r="Q14" s="314"/>
      <c r="R14" s="315"/>
      <c r="S14" s="14"/>
      <c r="U14" s="14"/>
    </row>
    <row r="15" spans="2:21">
      <c r="B15" s="47" t="s">
        <v>14</v>
      </c>
      <c r="C15" s="73">
        <f>46231-1</f>
        <v>46230</v>
      </c>
      <c r="D15" s="73">
        <v>59414</v>
      </c>
      <c r="E15" s="158">
        <v>63761</v>
      </c>
      <c r="F15" s="73">
        <f>49603-1</f>
        <v>49602</v>
      </c>
      <c r="G15" s="117">
        <v>57878</v>
      </c>
      <c r="H15" s="74">
        <v>57776</v>
      </c>
      <c r="I15" s="117">
        <v>85188</v>
      </c>
      <c r="J15" s="74">
        <v>65247</v>
      </c>
      <c r="K15" s="119">
        <v>56451</v>
      </c>
      <c r="L15" s="75">
        <v>55580</v>
      </c>
      <c r="M15" s="119">
        <v>56027</v>
      </c>
      <c r="N15" s="75">
        <v>73835</v>
      </c>
      <c r="O15" s="280">
        <v>51142</v>
      </c>
      <c r="P15" s="268"/>
      <c r="Q15" s="280"/>
      <c r="R15" s="268"/>
      <c r="S15" s="14"/>
      <c r="T15" s="18"/>
      <c r="U15" s="14"/>
    </row>
    <row r="16" spans="2:21">
      <c r="B16" s="137"/>
      <c r="C16" s="69"/>
      <c r="D16" s="69"/>
      <c r="E16" s="156"/>
      <c r="F16" s="69"/>
      <c r="G16" s="93"/>
      <c r="H16" s="70"/>
      <c r="I16" s="93"/>
      <c r="J16" s="70"/>
      <c r="K16" s="94"/>
      <c r="L16" s="71"/>
      <c r="M16" s="94"/>
      <c r="N16" s="71"/>
      <c r="O16" s="271"/>
      <c r="P16" s="267"/>
      <c r="Q16" s="271"/>
      <c r="R16" s="267"/>
      <c r="S16" s="14"/>
      <c r="U16" s="14"/>
    </row>
    <row r="17" spans="2:21">
      <c r="B17" s="138" t="s">
        <v>15</v>
      </c>
      <c r="C17" s="81">
        <f t="shared" ref="C17:F17" si="9">C12-C15</f>
        <v>26108</v>
      </c>
      <c r="D17" s="81">
        <f t="shared" si="9"/>
        <v>33576</v>
      </c>
      <c r="E17" s="184">
        <f t="shared" si="9"/>
        <v>20079</v>
      </c>
      <c r="F17" s="81">
        <f t="shared" si="9"/>
        <v>35159</v>
      </c>
      <c r="G17" s="185">
        <f t="shared" ref="G17:N17" si="10">G12-G15</f>
        <v>13344</v>
      </c>
      <c r="H17" s="82">
        <f t="shared" si="10"/>
        <v>21959</v>
      </c>
      <c r="I17" s="185">
        <f t="shared" si="10"/>
        <v>22985</v>
      </c>
      <c r="J17" s="82">
        <f t="shared" si="10"/>
        <v>48189</v>
      </c>
      <c r="K17" s="186">
        <f t="shared" si="10"/>
        <v>30632</v>
      </c>
      <c r="L17" s="83">
        <f t="shared" si="10"/>
        <v>15929</v>
      </c>
      <c r="M17" s="186">
        <f t="shared" si="10"/>
        <v>15266</v>
      </c>
      <c r="N17" s="83">
        <f t="shared" si="10"/>
        <v>3254</v>
      </c>
      <c r="O17" s="312">
        <f t="shared" ref="O17:R17" si="11">O12-O15</f>
        <v>17321</v>
      </c>
      <c r="P17" s="269">
        <f t="shared" si="11"/>
        <v>0</v>
      </c>
      <c r="Q17" s="312">
        <f t="shared" si="11"/>
        <v>0</v>
      </c>
      <c r="R17" s="269">
        <f t="shared" si="11"/>
        <v>0</v>
      </c>
      <c r="S17" s="14"/>
      <c r="U17" s="14"/>
    </row>
    <row r="18" spans="2:21">
      <c r="B18" s="47" t="s">
        <v>16</v>
      </c>
      <c r="C18" s="48">
        <f t="shared" ref="C18:F18" si="12">C17/C8</f>
        <v>0.19909557472184727</v>
      </c>
      <c r="D18" s="48">
        <f t="shared" si="12"/>
        <v>0.21190280845692647</v>
      </c>
      <c r="E18" s="102">
        <f t="shared" si="12"/>
        <v>0.15212977133938449</v>
      </c>
      <c r="F18" s="48">
        <f t="shared" si="12"/>
        <v>0.22556617694232373</v>
      </c>
      <c r="G18" s="49">
        <f t="shared" ref="G18:N18" si="13">G17/G8</f>
        <v>0.10554039625103809</v>
      </c>
      <c r="H18" s="50">
        <f t="shared" si="13"/>
        <v>0.15230584628616214</v>
      </c>
      <c r="I18" s="49">
        <f t="shared" si="13"/>
        <v>0.14519990650604236</v>
      </c>
      <c r="J18" s="50">
        <f t="shared" si="13"/>
        <v>0.28033158813263526</v>
      </c>
      <c r="K18" s="51">
        <f t="shared" si="13"/>
        <v>0.24227085425943357</v>
      </c>
      <c r="L18" s="52">
        <f t="shared" si="13"/>
        <v>0.13606738021816567</v>
      </c>
      <c r="M18" s="51">
        <f t="shared" si="13"/>
        <v>0.13001192301141201</v>
      </c>
      <c r="N18" s="52">
        <f t="shared" si="13"/>
        <v>2.699877202880754E-2</v>
      </c>
      <c r="O18" s="313">
        <f t="shared" ref="O18:R18" si="14">O17/O8</f>
        <v>0.13713629705870709</v>
      </c>
      <c r="P18" s="301" t="e">
        <f t="shared" si="14"/>
        <v>#DIV/0!</v>
      </c>
      <c r="Q18" s="313" t="e">
        <f t="shared" si="14"/>
        <v>#DIV/0!</v>
      </c>
      <c r="R18" s="301" t="e">
        <f t="shared" si="14"/>
        <v>#DIV/0!</v>
      </c>
      <c r="S18" s="14"/>
      <c r="U18" s="14"/>
    </row>
    <row r="19" spans="2:21">
      <c r="B19" s="139"/>
      <c r="C19" s="32"/>
      <c r="D19" s="32"/>
      <c r="E19" s="146"/>
      <c r="F19" s="32"/>
      <c r="G19" s="33"/>
      <c r="H19" s="34"/>
      <c r="I19" s="33"/>
      <c r="J19" s="34"/>
      <c r="K19" s="35"/>
      <c r="L19" s="36"/>
      <c r="M19" s="35"/>
      <c r="N19" s="36"/>
      <c r="O19" s="316"/>
      <c r="P19" s="317"/>
      <c r="Q19" s="316"/>
      <c r="R19" s="317"/>
      <c r="S19" s="14"/>
      <c r="U19" s="14"/>
    </row>
    <row r="20" spans="2:21">
      <c r="B20" s="47" t="s">
        <v>17</v>
      </c>
      <c r="C20" s="120">
        <f>4427+1</f>
        <v>4428</v>
      </c>
      <c r="D20" s="120">
        <f>4423-1</f>
        <v>4422</v>
      </c>
      <c r="E20" s="159">
        <f>5129+1</f>
        <v>5130</v>
      </c>
      <c r="F20" s="120">
        <v>5281</v>
      </c>
      <c r="G20" s="121">
        <f>3052+1</f>
        <v>3053</v>
      </c>
      <c r="H20" s="122">
        <f>2676-1</f>
        <v>2675</v>
      </c>
      <c r="I20" s="121">
        <v>2540</v>
      </c>
      <c r="J20" s="122">
        <v>4077</v>
      </c>
      <c r="K20" s="118">
        <f>2251-2</f>
        <v>2249</v>
      </c>
      <c r="L20" s="178">
        <f>2055+1</f>
        <v>2056</v>
      </c>
      <c r="M20" s="118">
        <f>2007+1</f>
        <v>2008</v>
      </c>
      <c r="N20" s="187">
        <v>2775</v>
      </c>
      <c r="O20" s="279">
        <v>5130</v>
      </c>
      <c r="P20" s="288"/>
      <c r="Q20" s="279"/>
      <c r="R20" s="290"/>
      <c r="S20" s="14"/>
      <c r="U20" s="14"/>
    </row>
    <row r="21" spans="2:21">
      <c r="B21" s="47" t="s">
        <v>18</v>
      </c>
      <c r="C21" s="120">
        <v>0</v>
      </c>
      <c r="D21" s="120">
        <v>0</v>
      </c>
      <c r="E21" s="120">
        <v>0</v>
      </c>
      <c r="F21" s="120">
        <v>0</v>
      </c>
      <c r="G21" s="121">
        <v>0</v>
      </c>
      <c r="H21" s="122">
        <v>0</v>
      </c>
      <c r="I21" s="122">
        <v>0</v>
      </c>
      <c r="J21" s="122">
        <v>0</v>
      </c>
      <c r="K21" s="118">
        <v>0</v>
      </c>
      <c r="L21" s="178">
        <v>0</v>
      </c>
      <c r="M21" s="118">
        <v>0</v>
      </c>
      <c r="N21" s="187">
        <v>0</v>
      </c>
      <c r="O21" s="279">
        <v>0</v>
      </c>
      <c r="P21" s="288"/>
      <c r="Q21" s="279"/>
      <c r="R21" s="290"/>
      <c r="S21" s="14"/>
      <c r="U21" s="14"/>
    </row>
    <row r="22" spans="2:21">
      <c r="B22" s="47" t="s">
        <v>19</v>
      </c>
      <c r="C22" s="120">
        <v>0</v>
      </c>
      <c r="D22" s="120">
        <v>0</v>
      </c>
      <c r="E22" s="120">
        <v>0</v>
      </c>
      <c r="F22" s="120">
        <v>0</v>
      </c>
      <c r="G22" s="121">
        <v>0</v>
      </c>
      <c r="H22" s="122">
        <v>0</v>
      </c>
      <c r="I22" s="122">
        <v>0</v>
      </c>
      <c r="J22" s="122">
        <v>0</v>
      </c>
      <c r="K22" s="118">
        <v>0</v>
      </c>
      <c r="L22" s="178">
        <v>0</v>
      </c>
      <c r="M22" s="118">
        <v>0</v>
      </c>
      <c r="N22" s="187">
        <v>0</v>
      </c>
      <c r="O22" s="279">
        <v>0</v>
      </c>
      <c r="P22" s="288"/>
      <c r="Q22" s="279"/>
      <c r="R22" s="290"/>
      <c r="S22" s="14"/>
      <c r="U22" s="14"/>
    </row>
    <row r="23" spans="2:21">
      <c r="B23" s="140"/>
      <c r="C23" s="120"/>
      <c r="D23" s="120"/>
      <c r="E23" s="159"/>
      <c r="F23" s="120"/>
      <c r="G23" s="121"/>
      <c r="H23" s="122"/>
      <c r="I23" s="121"/>
      <c r="J23" s="122"/>
      <c r="K23" s="118"/>
      <c r="L23" s="178"/>
      <c r="M23" s="118"/>
      <c r="N23" s="187"/>
      <c r="O23" s="279"/>
      <c r="P23" s="288"/>
      <c r="Q23" s="279"/>
      <c r="R23" s="290"/>
      <c r="S23" s="14"/>
      <c r="U23" s="14"/>
    </row>
    <row r="24" spans="2:21">
      <c r="B24" s="138" t="s">
        <v>20</v>
      </c>
      <c r="C24" s="81">
        <f>C17-C20-C21-C22</f>
        <v>21680</v>
      </c>
      <c r="D24" s="81">
        <f t="shared" ref="D24:F24" si="15">D17-D20-D21-D22</f>
        <v>29154</v>
      </c>
      <c r="E24" s="184">
        <f t="shared" si="15"/>
        <v>14949</v>
      </c>
      <c r="F24" s="81">
        <f t="shared" si="15"/>
        <v>29878</v>
      </c>
      <c r="G24" s="185">
        <f>G17-G20-G21-G22</f>
        <v>10291</v>
      </c>
      <c r="H24" s="82">
        <f t="shared" ref="H24:N24" si="16">H17-H20-H21-H22</f>
        <v>19284</v>
      </c>
      <c r="I24" s="185">
        <f t="shared" si="16"/>
        <v>20445</v>
      </c>
      <c r="J24" s="82">
        <f t="shared" si="16"/>
        <v>44112</v>
      </c>
      <c r="K24" s="186">
        <f t="shared" si="16"/>
        <v>28383</v>
      </c>
      <c r="L24" s="83">
        <f t="shared" si="16"/>
        <v>13873</v>
      </c>
      <c r="M24" s="186">
        <f t="shared" si="16"/>
        <v>13258</v>
      </c>
      <c r="N24" s="83">
        <f t="shared" si="16"/>
        <v>479</v>
      </c>
      <c r="O24" s="312">
        <f t="shared" ref="O24:R24" si="17">O17-O20-O21-O22</f>
        <v>12191</v>
      </c>
      <c r="P24" s="269">
        <f t="shared" si="17"/>
        <v>0</v>
      </c>
      <c r="Q24" s="312">
        <f t="shared" si="17"/>
        <v>0</v>
      </c>
      <c r="R24" s="269">
        <f t="shared" si="17"/>
        <v>0</v>
      </c>
      <c r="S24" s="14"/>
      <c r="U24" s="14"/>
    </row>
    <row r="25" spans="2:21">
      <c r="B25" s="47" t="s">
        <v>21</v>
      </c>
      <c r="C25" s="102">
        <f>C24/C8</f>
        <v>0.16532833077867509</v>
      </c>
      <c r="D25" s="102">
        <f t="shared" ref="D25:F25" si="18">D24/D8</f>
        <v>0.1839949510886715</v>
      </c>
      <c r="E25" s="102">
        <f t="shared" si="18"/>
        <v>0.113262012637704</v>
      </c>
      <c r="F25" s="102">
        <f t="shared" si="18"/>
        <v>0.19168537884134215</v>
      </c>
      <c r="G25" s="49">
        <f>G24/G8</f>
        <v>8.139360145529323E-2</v>
      </c>
      <c r="H25" s="49">
        <f t="shared" ref="H25:N25" si="19">H24/H8</f>
        <v>0.1337522628435881</v>
      </c>
      <c r="I25" s="49">
        <f t="shared" si="19"/>
        <v>0.12915432188453496</v>
      </c>
      <c r="J25" s="49">
        <f t="shared" si="19"/>
        <v>0.25661431064572426</v>
      </c>
      <c r="K25" s="51">
        <f t="shared" si="19"/>
        <v>0.22448333952877716</v>
      </c>
      <c r="L25" s="51">
        <f t="shared" si="19"/>
        <v>0.1185047878565266</v>
      </c>
      <c r="M25" s="51">
        <f t="shared" si="19"/>
        <v>0.11291091807187872</v>
      </c>
      <c r="N25" s="51">
        <f t="shared" si="19"/>
        <v>3.9743121701901699E-3</v>
      </c>
      <c r="O25" s="313">
        <f t="shared" ref="O25:R25" si="20">O24/O8</f>
        <v>9.6520327777997711E-2</v>
      </c>
      <c r="P25" s="313" t="e">
        <f t="shared" si="20"/>
        <v>#DIV/0!</v>
      </c>
      <c r="Q25" s="313" t="e">
        <f t="shared" si="20"/>
        <v>#DIV/0!</v>
      </c>
      <c r="R25" s="313" t="e">
        <f t="shared" si="20"/>
        <v>#DIV/0!</v>
      </c>
      <c r="S25" s="14"/>
      <c r="U25" s="14"/>
    </row>
    <row r="26" spans="2:21" ht="15.5">
      <c r="B26" s="10"/>
      <c r="C26" s="16"/>
      <c r="D26" s="16"/>
      <c r="E26" s="16"/>
      <c r="F26" s="16"/>
      <c r="G26" s="4"/>
      <c r="H26" s="4"/>
      <c r="I26" s="4"/>
      <c r="J26" s="4"/>
      <c r="K26" s="7"/>
      <c r="L26" s="7"/>
      <c r="M26" s="7"/>
      <c r="N26" s="7"/>
      <c r="O26" s="346"/>
      <c r="P26" s="346"/>
      <c r="Q26" s="346"/>
      <c r="R26" s="346"/>
      <c r="S26" s="14"/>
      <c r="U26" s="14"/>
    </row>
    <row r="27" spans="2:21" ht="33" customHeight="1">
      <c r="B27" s="364" t="s">
        <v>22</v>
      </c>
      <c r="C27" s="364"/>
      <c r="D27" s="364"/>
      <c r="E27" s="364"/>
      <c r="F27" s="364"/>
      <c r="G27" s="364"/>
      <c r="H27" s="364"/>
      <c r="I27" s="364"/>
      <c r="J27" s="364"/>
      <c r="K27" s="364"/>
      <c r="L27" s="364"/>
      <c r="M27" s="364"/>
      <c r="N27" s="364"/>
      <c r="O27" s="364"/>
      <c r="P27" s="364"/>
      <c r="Q27" s="364"/>
      <c r="R27" s="364"/>
      <c r="S27" s="364"/>
      <c r="U27" s="211"/>
    </row>
    <row r="29" spans="2:21">
      <c r="C29" s="18"/>
      <c r="D29" s="18"/>
      <c r="E29" s="18"/>
      <c r="F29" s="18"/>
      <c r="G29" s="18"/>
      <c r="H29" s="18"/>
      <c r="I29" s="18"/>
      <c r="J29" s="18"/>
      <c r="K29" s="18"/>
      <c r="L29" s="18"/>
      <c r="M29" s="18"/>
      <c r="N29" s="18"/>
      <c r="O29" s="18"/>
      <c r="P29" s="18"/>
      <c r="Q29" s="18"/>
      <c r="R29" s="18"/>
    </row>
    <row r="30" spans="2:21">
      <c r="C30" s="18"/>
      <c r="D30" s="18"/>
      <c r="E30" s="18"/>
      <c r="F30" s="18"/>
      <c r="G30" s="18"/>
      <c r="H30" s="18"/>
      <c r="I30" s="18"/>
      <c r="J30" s="18"/>
      <c r="K30" s="18"/>
      <c r="L30" s="18"/>
      <c r="M30" s="18"/>
      <c r="N30" s="18"/>
      <c r="O30" s="18"/>
      <c r="P30" s="18"/>
      <c r="Q30" s="18"/>
      <c r="R30" s="18"/>
    </row>
    <row r="31" spans="2:21">
      <c r="C31" s="18"/>
      <c r="D31" s="18"/>
      <c r="E31" s="18"/>
      <c r="F31" s="18"/>
      <c r="G31" s="18"/>
      <c r="H31" s="18"/>
      <c r="I31" s="18"/>
      <c r="J31" s="18"/>
      <c r="K31" s="18"/>
      <c r="L31" s="18"/>
      <c r="M31" s="18"/>
      <c r="N31" s="18"/>
      <c r="O31" s="18"/>
      <c r="P31" s="18"/>
      <c r="Q31" s="18"/>
      <c r="R31" s="18"/>
    </row>
    <row r="34" spans="3:18">
      <c r="C34" s="18"/>
      <c r="D34" s="18"/>
      <c r="E34" s="18"/>
      <c r="F34" s="18"/>
      <c r="G34" s="18"/>
      <c r="H34" s="18"/>
      <c r="I34" s="18"/>
      <c r="J34" s="18"/>
      <c r="K34" s="18"/>
      <c r="L34" s="18"/>
      <c r="M34" s="18"/>
      <c r="N34" s="18"/>
      <c r="O34" s="18"/>
      <c r="P34" s="18"/>
      <c r="Q34" s="18"/>
      <c r="R34" s="18"/>
    </row>
    <row r="35" spans="3:18">
      <c r="C35" s="18"/>
      <c r="D35" s="18"/>
      <c r="E35" s="18"/>
      <c r="F35" s="18"/>
      <c r="G35" s="18"/>
      <c r="H35" s="18"/>
      <c r="I35" s="18"/>
      <c r="J35" s="18"/>
      <c r="K35" s="18"/>
      <c r="L35" s="18"/>
      <c r="M35" s="18"/>
      <c r="N35" s="18"/>
      <c r="O35" s="18"/>
      <c r="P35" s="18"/>
      <c r="Q35" s="18"/>
      <c r="R35" s="18"/>
    </row>
    <row r="39" spans="3:18">
      <c r="C39" s="18"/>
      <c r="D39" s="18"/>
      <c r="E39" s="18"/>
      <c r="F39" s="18"/>
      <c r="G39" s="18"/>
      <c r="H39" s="18"/>
      <c r="I39" s="18"/>
      <c r="J39" s="18"/>
      <c r="K39" s="18"/>
      <c r="L39" s="18"/>
      <c r="M39" s="18"/>
      <c r="N39" s="18"/>
      <c r="O39" s="18"/>
      <c r="P39" s="18"/>
      <c r="Q39" s="18"/>
      <c r="R39" s="18"/>
    </row>
    <row r="44" spans="3:18">
      <c r="C44" s="18"/>
      <c r="D44" s="18"/>
      <c r="E44" s="18"/>
      <c r="F44" s="18"/>
      <c r="G44" s="18"/>
      <c r="H44" s="18"/>
      <c r="I44" s="18"/>
      <c r="J44" s="18"/>
      <c r="K44" s="18"/>
      <c r="L44" s="18"/>
      <c r="M44" s="18"/>
      <c r="N44" s="18"/>
      <c r="O44" s="18"/>
      <c r="P44" s="18"/>
      <c r="Q44" s="18"/>
      <c r="R44" s="18"/>
    </row>
    <row r="45" spans="3:18">
      <c r="C45" s="18"/>
      <c r="D45" s="18"/>
      <c r="E45" s="18"/>
      <c r="F45" s="18"/>
      <c r="G45" s="18"/>
      <c r="H45" s="18"/>
      <c r="I45" s="18"/>
      <c r="J45" s="18"/>
      <c r="K45" s="18"/>
      <c r="L45" s="18"/>
      <c r="M45" s="18"/>
      <c r="N45" s="18"/>
      <c r="O45" s="18"/>
      <c r="P45" s="18"/>
      <c r="Q45" s="18"/>
      <c r="R45" s="18"/>
    </row>
    <row r="46" spans="3:18">
      <c r="C46" s="18"/>
      <c r="D46" s="18"/>
      <c r="E46" s="18"/>
      <c r="F46" s="18"/>
      <c r="G46" s="18"/>
      <c r="H46" s="18"/>
      <c r="I46" s="18"/>
      <c r="J46" s="18"/>
      <c r="K46" s="18"/>
      <c r="L46" s="18"/>
      <c r="M46" s="18"/>
      <c r="N46" s="18"/>
      <c r="O46" s="18"/>
      <c r="P46" s="18"/>
      <c r="Q46" s="18"/>
      <c r="R46" s="18"/>
    </row>
  </sheetData>
  <mergeCells count="5">
    <mergeCell ref="G3:J3"/>
    <mergeCell ref="K3:N3"/>
    <mergeCell ref="B27:S27"/>
    <mergeCell ref="C3:F3"/>
    <mergeCell ref="O3:R3"/>
  </mergeCells>
  <pageMargins left="0.7" right="0.7" top="0.75" bottom="0.75" header="0.3" footer="0.3"/>
  <pageSetup paperSize="9" scale="57" orientation="landscape"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46"/>
  <sheetViews>
    <sheetView view="pageBreakPreview" zoomScale="80" zoomScaleNormal="100" zoomScaleSheetLayoutView="80" workbookViewId="0">
      <selection activeCell="N37" sqref="N37"/>
    </sheetView>
  </sheetViews>
  <sheetFormatPr defaultRowHeight="14.5"/>
  <cols>
    <col min="1" max="1" width="2.453125" customWidth="1"/>
    <col min="2" max="2" width="24.90625" customWidth="1"/>
    <col min="3" max="18" width="10.54296875" customWidth="1"/>
    <col min="19" max="19" width="3" customWidth="1"/>
  </cols>
  <sheetData>
    <row r="1" spans="2:21" ht="15" thickBot="1"/>
    <row r="2" spans="2:21" ht="16" thickBot="1">
      <c r="B2" s="1" t="s">
        <v>23</v>
      </c>
      <c r="C2" s="11"/>
      <c r="D2" s="11"/>
      <c r="E2" s="11"/>
      <c r="F2" s="11"/>
      <c r="G2" s="11"/>
      <c r="H2" s="11"/>
      <c r="I2" s="11"/>
      <c r="J2" s="11"/>
      <c r="K2" s="11"/>
      <c r="L2" s="11"/>
      <c r="M2" s="11"/>
      <c r="N2" s="12"/>
      <c r="O2" s="218"/>
      <c r="P2" s="218"/>
      <c r="Q2" s="218"/>
      <c r="R2" s="218"/>
      <c r="S2" s="13"/>
      <c r="U2" s="13"/>
    </row>
    <row r="3" spans="2:21" ht="15" thickBot="1">
      <c r="B3" s="132"/>
      <c r="C3" s="363">
        <v>2016</v>
      </c>
      <c r="D3" s="355"/>
      <c r="E3" s="355"/>
      <c r="F3" s="356"/>
      <c r="G3" s="357">
        <v>2017</v>
      </c>
      <c r="H3" s="358"/>
      <c r="I3" s="358"/>
      <c r="J3" s="359"/>
      <c r="K3" s="360">
        <v>2018</v>
      </c>
      <c r="L3" s="361"/>
      <c r="M3" s="361"/>
      <c r="N3" s="362"/>
      <c r="O3" s="365">
        <v>2019</v>
      </c>
      <c r="P3" s="366"/>
      <c r="Q3" s="366"/>
      <c r="R3" s="367"/>
      <c r="S3" s="13"/>
      <c r="U3" s="13"/>
    </row>
    <row r="4" spans="2:21" ht="15" thickBot="1">
      <c r="B4" s="8" t="s">
        <v>1</v>
      </c>
      <c r="C4" s="147" t="s">
        <v>2</v>
      </c>
      <c r="D4" s="147" t="s">
        <v>3</v>
      </c>
      <c r="E4" s="147" t="s">
        <v>4</v>
      </c>
      <c r="F4" s="148" t="s">
        <v>5</v>
      </c>
      <c r="G4" s="64" t="s">
        <v>2</v>
      </c>
      <c r="H4" s="64" t="s">
        <v>3</v>
      </c>
      <c r="I4" s="64" t="s">
        <v>4</v>
      </c>
      <c r="J4" s="65" t="s">
        <v>5</v>
      </c>
      <c r="K4" s="66" t="s">
        <v>2</v>
      </c>
      <c r="L4" s="66" t="s">
        <v>3</v>
      </c>
      <c r="M4" s="66" t="s">
        <v>4</v>
      </c>
      <c r="N4" s="67" t="s">
        <v>5</v>
      </c>
      <c r="O4" s="265" t="s">
        <v>2</v>
      </c>
      <c r="P4" s="265" t="s">
        <v>3</v>
      </c>
      <c r="Q4" s="265" t="s">
        <v>4</v>
      </c>
      <c r="R4" s="266" t="s">
        <v>5</v>
      </c>
      <c r="S4" s="13"/>
      <c r="U4" s="13"/>
    </row>
    <row r="5" spans="2:21">
      <c r="B5" s="72" t="s">
        <v>6</v>
      </c>
      <c r="C5" s="73">
        <v>12593</v>
      </c>
      <c r="D5" s="73">
        <v>10209</v>
      </c>
      <c r="E5" s="73">
        <v>7394</v>
      </c>
      <c r="F5" s="73">
        <v>12075</v>
      </c>
      <c r="G5" s="74">
        <v>11120</v>
      </c>
      <c r="H5" s="74">
        <v>5169</v>
      </c>
      <c r="I5" s="74">
        <v>5368</v>
      </c>
      <c r="J5" s="74">
        <v>5235</v>
      </c>
      <c r="K5" s="75">
        <v>4544</v>
      </c>
      <c r="L5" s="75">
        <v>8152</v>
      </c>
      <c r="M5" s="75">
        <v>5825</v>
      </c>
      <c r="N5" s="75">
        <v>7745</v>
      </c>
      <c r="O5" s="268">
        <v>5556</v>
      </c>
      <c r="P5" s="268"/>
      <c r="Q5" s="268"/>
      <c r="R5" s="268"/>
      <c r="S5" s="13"/>
      <c r="U5" s="13"/>
    </row>
    <row r="6" spans="2:21">
      <c r="B6" s="96" t="s">
        <v>7</v>
      </c>
      <c r="C6" s="73">
        <v>2731</v>
      </c>
      <c r="D6" s="73">
        <v>2152</v>
      </c>
      <c r="E6" s="73">
        <v>366</v>
      </c>
      <c r="F6" s="73">
        <v>5090</v>
      </c>
      <c r="G6" s="74">
        <v>2089</v>
      </c>
      <c r="H6" s="74">
        <v>462</v>
      </c>
      <c r="I6" s="74">
        <v>1995</v>
      </c>
      <c r="J6" s="74">
        <v>2433</v>
      </c>
      <c r="K6" s="75">
        <v>423</v>
      </c>
      <c r="L6" s="75">
        <v>1669</v>
      </c>
      <c r="M6" s="75">
        <v>1880</v>
      </c>
      <c r="N6" s="75">
        <v>1219</v>
      </c>
      <c r="O6" s="268">
        <v>985</v>
      </c>
      <c r="P6" s="268"/>
      <c r="Q6" s="268"/>
      <c r="R6" s="268"/>
      <c r="S6" s="13"/>
      <c r="U6" s="13"/>
    </row>
    <row r="7" spans="2:21">
      <c r="B7" s="170" t="s">
        <v>8</v>
      </c>
      <c r="C7" s="77">
        <v>14022</v>
      </c>
      <c r="D7" s="77">
        <v>10546</v>
      </c>
      <c r="E7" s="77">
        <v>9773</v>
      </c>
      <c r="F7" s="77">
        <v>9885</v>
      </c>
      <c r="G7" s="78">
        <v>9135</v>
      </c>
      <c r="H7" s="78">
        <v>6061</v>
      </c>
      <c r="I7" s="78">
        <v>3340</v>
      </c>
      <c r="J7" s="78">
        <v>3761</v>
      </c>
      <c r="K7" s="79">
        <v>5076</v>
      </c>
      <c r="L7" s="79">
        <v>5883</v>
      </c>
      <c r="M7" s="79">
        <v>5527</v>
      </c>
      <c r="N7" s="79">
        <v>3766</v>
      </c>
      <c r="O7" s="296">
        <v>10992</v>
      </c>
      <c r="P7" s="296"/>
      <c r="Q7" s="296"/>
      <c r="R7" s="296"/>
      <c r="S7" s="13"/>
      <c r="U7" s="13"/>
    </row>
    <row r="8" spans="2:21">
      <c r="B8" s="138" t="s">
        <v>9</v>
      </c>
      <c r="C8" s="81">
        <f t="shared" ref="C8:F8" si="0">SUM(C5:C7)</f>
        <v>29346</v>
      </c>
      <c r="D8" s="81">
        <f t="shared" si="0"/>
        <v>22907</v>
      </c>
      <c r="E8" s="81">
        <f t="shared" si="0"/>
        <v>17533</v>
      </c>
      <c r="F8" s="81">
        <f t="shared" si="0"/>
        <v>27050</v>
      </c>
      <c r="G8" s="82">
        <f t="shared" ref="G8:N8" si="1">SUM(G5:G7)</f>
        <v>22344</v>
      </c>
      <c r="H8" s="82">
        <f t="shared" si="1"/>
        <v>11692</v>
      </c>
      <c r="I8" s="82">
        <f t="shared" si="1"/>
        <v>10703</v>
      </c>
      <c r="J8" s="82">
        <f t="shared" si="1"/>
        <v>11429</v>
      </c>
      <c r="K8" s="83">
        <f t="shared" si="1"/>
        <v>10043</v>
      </c>
      <c r="L8" s="83">
        <f t="shared" si="1"/>
        <v>15704</v>
      </c>
      <c r="M8" s="83">
        <f t="shared" si="1"/>
        <v>13232</v>
      </c>
      <c r="N8" s="83">
        <f t="shared" si="1"/>
        <v>12730</v>
      </c>
      <c r="O8" s="269">
        <f t="shared" ref="O8:R8" si="2">SUM(O5:O7)</f>
        <v>17533</v>
      </c>
      <c r="P8" s="269">
        <f t="shared" si="2"/>
        <v>0</v>
      </c>
      <c r="Q8" s="269">
        <f t="shared" si="2"/>
        <v>0</v>
      </c>
      <c r="R8" s="269">
        <f t="shared" si="2"/>
        <v>0</v>
      </c>
      <c r="S8" s="13"/>
      <c r="U8" s="13"/>
    </row>
    <row r="9" spans="2:21">
      <c r="B9" s="92"/>
      <c r="C9" s="69"/>
      <c r="D9" s="182"/>
      <c r="E9" s="156"/>
      <c r="F9" s="182"/>
      <c r="G9" s="93"/>
      <c r="H9" s="183"/>
      <c r="I9" s="93"/>
      <c r="J9" s="183"/>
      <c r="K9" s="94"/>
      <c r="L9" s="177"/>
      <c r="M9" s="94"/>
      <c r="N9" s="177"/>
      <c r="O9" s="271"/>
      <c r="P9" s="287"/>
      <c r="Q9" s="271"/>
      <c r="R9" s="287"/>
      <c r="S9" s="13"/>
      <c r="U9" s="13"/>
    </row>
    <row r="10" spans="2:21">
      <c r="B10" s="47" t="s">
        <v>10</v>
      </c>
      <c r="C10" s="73">
        <v>10836</v>
      </c>
      <c r="D10" s="73">
        <v>4673</v>
      </c>
      <c r="E10" s="158">
        <v>4335</v>
      </c>
      <c r="F10" s="73">
        <v>6569</v>
      </c>
      <c r="G10" s="117">
        <v>7749</v>
      </c>
      <c r="H10" s="74">
        <v>2155</v>
      </c>
      <c r="I10" s="117">
        <v>3211</v>
      </c>
      <c r="J10" s="74">
        <v>4651</v>
      </c>
      <c r="K10" s="119">
        <v>4052</v>
      </c>
      <c r="L10" s="75">
        <v>4050</v>
      </c>
      <c r="M10" s="119">
        <v>4683</v>
      </c>
      <c r="N10" s="75">
        <v>5230</v>
      </c>
      <c r="O10" s="280">
        <v>6844</v>
      </c>
      <c r="P10" s="268"/>
      <c r="Q10" s="280"/>
      <c r="R10" s="268"/>
      <c r="S10" s="14"/>
      <c r="U10" s="14"/>
    </row>
    <row r="11" spans="2:21">
      <c r="B11" s="47" t="s">
        <v>133</v>
      </c>
      <c r="C11" s="73">
        <v>1796</v>
      </c>
      <c r="D11" s="73">
        <v>1906</v>
      </c>
      <c r="E11" s="158">
        <v>1460</v>
      </c>
      <c r="F11" s="73">
        <v>1353</v>
      </c>
      <c r="G11" s="117">
        <v>1004</v>
      </c>
      <c r="H11" s="74">
        <v>658</v>
      </c>
      <c r="I11" s="117">
        <v>1134</v>
      </c>
      <c r="J11" s="74">
        <v>443</v>
      </c>
      <c r="K11" s="119">
        <v>949</v>
      </c>
      <c r="L11" s="75">
        <v>3038</v>
      </c>
      <c r="M11" s="119">
        <v>2043</v>
      </c>
      <c r="N11" s="75">
        <v>877</v>
      </c>
      <c r="O11" s="280">
        <v>2500</v>
      </c>
      <c r="P11" s="268"/>
      <c r="Q11" s="280"/>
      <c r="R11" s="268"/>
      <c r="S11" s="14"/>
      <c r="U11" s="14"/>
    </row>
    <row r="12" spans="2:21">
      <c r="B12" s="136" t="s">
        <v>12</v>
      </c>
      <c r="C12" s="81">
        <f t="shared" ref="C12:F12" si="3">C8-C10-C11</f>
        <v>16714</v>
      </c>
      <c r="D12" s="81">
        <f t="shared" si="3"/>
        <v>16328</v>
      </c>
      <c r="E12" s="184">
        <f t="shared" si="3"/>
        <v>11738</v>
      </c>
      <c r="F12" s="81">
        <f t="shared" si="3"/>
        <v>19128</v>
      </c>
      <c r="G12" s="185">
        <f t="shared" ref="G12:N12" si="4">G8-G10-G11</f>
        <v>13591</v>
      </c>
      <c r="H12" s="82">
        <f t="shared" si="4"/>
        <v>8879</v>
      </c>
      <c r="I12" s="185">
        <f t="shared" si="4"/>
        <v>6358</v>
      </c>
      <c r="J12" s="82">
        <f t="shared" si="4"/>
        <v>6335</v>
      </c>
      <c r="K12" s="186">
        <f t="shared" si="4"/>
        <v>5042</v>
      </c>
      <c r="L12" s="83">
        <f t="shared" si="4"/>
        <v>8616</v>
      </c>
      <c r="M12" s="186">
        <f t="shared" si="4"/>
        <v>6506</v>
      </c>
      <c r="N12" s="83">
        <f t="shared" si="4"/>
        <v>6623</v>
      </c>
      <c r="O12" s="312">
        <f t="shared" ref="O12:R12" si="5">O8-O10-O11</f>
        <v>8189</v>
      </c>
      <c r="P12" s="269">
        <f t="shared" si="5"/>
        <v>0</v>
      </c>
      <c r="Q12" s="312">
        <f t="shared" si="5"/>
        <v>0</v>
      </c>
      <c r="R12" s="269">
        <f t="shared" si="5"/>
        <v>0</v>
      </c>
      <c r="S12" s="14"/>
      <c r="U12" s="14"/>
    </row>
    <row r="13" spans="2:21">
      <c r="B13" s="47" t="s">
        <v>13</v>
      </c>
      <c r="C13" s="48">
        <f t="shared" ref="C13:F13" si="6">C12/C8</f>
        <v>0.56954951271042054</v>
      </c>
      <c r="D13" s="48">
        <f t="shared" si="6"/>
        <v>0.71279521543632951</v>
      </c>
      <c r="E13" s="102">
        <f t="shared" si="6"/>
        <v>0.66948040837278278</v>
      </c>
      <c r="F13" s="48">
        <f t="shared" si="6"/>
        <v>0.70713493530499072</v>
      </c>
      <c r="G13" s="49">
        <f t="shared" ref="G13:N13" si="7">G12/G8</f>
        <v>0.6082617257429288</v>
      </c>
      <c r="H13" s="50">
        <f t="shared" si="7"/>
        <v>0.75940814231953468</v>
      </c>
      <c r="I13" s="49">
        <f t="shared" si="7"/>
        <v>0.59403905447070915</v>
      </c>
      <c r="J13" s="50">
        <f t="shared" si="7"/>
        <v>0.55429171406072275</v>
      </c>
      <c r="K13" s="51">
        <f t="shared" si="7"/>
        <v>0.50204122274220853</v>
      </c>
      <c r="L13" s="52">
        <f t="shared" si="7"/>
        <v>0.54865002547121755</v>
      </c>
      <c r="M13" s="51">
        <f t="shared" si="7"/>
        <v>0.49168681983071344</v>
      </c>
      <c r="N13" s="52">
        <f t="shared" si="7"/>
        <v>0.52026708562450907</v>
      </c>
      <c r="O13" s="313">
        <f t="shared" ref="O13:R13" si="8">O12/O8</f>
        <v>0.46706211144698567</v>
      </c>
      <c r="P13" s="301" t="e">
        <f t="shared" si="8"/>
        <v>#DIV/0!</v>
      </c>
      <c r="Q13" s="313" t="e">
        <f t="shared" si="8"/>
        <v>#DIV/0!</v>
      </c>
      <c r="R13" s="301" t="e">
        <f t="shared" si="8"/>
        <v>#DIV/0!</v>
      </c>
      <c r="S13" s="14"/>
      <c r="U13" s="14"/>
    </row>
    <row r="14" spans="2:21">
      <c r="B14" s="137"/>
      <c r="C14" s="97"/>
      <c r="D14" s="97"/>
      <c r="E14" s="145"/>
      <c r="F14" s="97"/>
      <c r="G14" s="98"/>
      <c r="H14" s="99"/>
      <c r="I14" s="98"/>
      <c r="J14" s="99"/>
      <c r="K14" s="100"/>
      <c r="L14" s="101"/>
      <c r="M14" s="100"/>
      <c r="N14" s="101"/>
      <c r="O14" s="314"/>
      <c r="P14" s="315"/>
      <c r="Q14" s="314"/>
      <c r="R14" s="315"/>
      <c r="S14" s="14"/>
      <c r="U14" s="14"/>
    </row>
    <row r="15" spans="2:21">
      <c r="B15" s="47" t="s">
        <v>14</v>
      </c>
      <c r="C15" s="73">
        <v>15329</v>
      </c>
      <c r="D15" s="73">
        <v>20182</v>
      </c>
      <c r="E15" s="158">
        <v>18188</v>
      </c>
      <c r="F15" s="73">
        <v>22077</v>
      </c>
      <c r="G15" s="117">
        <v>10215</v>
      </c>
      <c r="H15" s="74">
        <v>10524</v>
      </c>
      <c r="I15" s="117">
        <v>12327</v>
      </c>
      <c r="J15" s="74">
        <v>9674</v>
      </c>
      <c r="K15" s="119">
        <v>10747</v>
      </c>
      <c r="L15" s="75">
        <v>11626</v>
      </c>
      <c r="M15" s="119">
        <v>10975</v>
      </c>
      <c r="N15" s="75">
        <v>6617</v>
      </c>
      <c r="O15" s="280">
        <v>9594</v>
      </c>
      <c r="P15" s="268"/>
      <c r="Q15" s="280"/>
      <c r="R15" s="268"/>
      <c r="S15" s="14"/>
      <c r="U15" s="14"/>
    </row>
    <row r="16" spans="2:21">
      <c r="B16" s="137"/>
      <c r="C16" s="69"/>
      <c r="D16" s="69"/>
      <c r="E16" s="156"/>
      <c r="F16" s="69"/>
      <c r="G16" s="93"/>
      <c r="H16" s="70"/>
      <c r="I16" s="93"/>
      <c r="J16" s="70"/>
      <c r="K16" s="94"/>
      <c r="L16" s="71"/>
      <c r="M16" s="94"/>
      <c r="N16" s="71"/>
      <c r="O16" s="271"/>
      <c r="P16" s="267"/>
      <c r="Q16" s="271"/>
      <c r="R16" s="267"/>
      <c r="S16" s="14"/>
      <c r="U16" s="14"/>
    </row>
    <row r="17" spans="2:21">
      <c r="B17" s="138" t="s">
        <v>15</v>
      </c>
      <c r="C17" s="81">
        <f t="shared" ref="C17:F17" si="9">C12-C15</f>
        <v>1385</v>
      </c>
      <c r="D17" s="81">
        <f t="shared" si="9"/>
        <v>-3854</v>
      </c>
      <c r="E17" s="184">
        <f t="shared" si="9"/>
        <v>-6450</v>
      </c>
      <c r="F17" s="81">
        <f t="shared" si="9"/>
        <v>-2949</v>
      </c>
      <c r="G17" s="185">
        <f t="shared" ref="G17:N17" si="10">G12-G15</f>
        <v>3376</v>
      </c>
      <c r="H17" s="82">
        <f t="shared" si="10"/>
        <v>-1645</v>
      </c>
      <c r="I17" s="185">
        <f t="shared" si="10"/>
        <v>-5969</v>
      </c>
      <c r="J17" s="82">
        <f t="shared" si="10"/>
        <v>-3339</v>
      </c>
      <c r="K17" s="186">
        <f t="shared" si="10"/>
        <v>-5705</v>
      </c>
      <c r="L17" s="83">
        <f t="shared" si="10"/>
        <v>-3010</v>
      </c>
      <c r="M17" s="186">
        <f t="shared" si="10"/>
        <v>-4469</v>
      </c>
      <c r="N17" s="83">
        <f t="shared" si="10"/>
        <v>6</v>
      </c>
      <c r="O17" s="312">
        <f t="shared" ref="O17:R17" si="11">O12-O15</f>
        <v>-1405</v>
      </c>
      <c r="P17" s="269">
        <f t="shared" si="11"/>
        <v>0</v>
      </c>
      <c r="Q17" s="312">
        <f t="shared" si="11"/>
        <v>0</v>
      </c>
      <c r="R17" s="269">
        <f t="shared" si="11"/>
        <v>0</v>
      </c>
      <c r="S17" s="14"/>
      <c r="U17" s="14"/>
    </row>
    <row r="18" spans="2:21">
      <c r="B18" s="47" t="s">
        <v>16</v>
      </c>
      <c r="C18" s="48">
        <f t="shared" ref="C18:F18" si="12">C17/C8</f>
        <v>4.7195529203298572E-2</v>
      </c>
      <c r="D18" s="48">
        <f t="shared" si="12"/>
        <v>-0.16824551447155892</v>
      </c>
      <c r="E18" s="102">
        <f t="shared" si="12"/>
        <v>-0.36787771630639365</v>
      </c>
      <c r="F18" s="48">
        <f t="shared" si="12"/>
        <v>-0.10902033271719039</v>
      </c>
      <c r="G18" s="49">
        <f t="shared" ref="G18:N18" si="13">G17/G8</f>
        <v>0.1510920157536699</v>
      </c>
      <c r="H18" s="50">
        <f t="shared" si="13"/>
        <v>-0.14069449196031475</v>
      </c>
      <c r="I18" s="49">
        <f t="shared" si="13"/>
        <v>-0.55769410445669443</v>
      </c>
      <c r="J18" s="50">
        <f t="shared" si="13"/>
        <v>-0.29215154431708812</v>
      </c>
      <c r="K18" s="51">
        <f t="shared" si="13"/>
        <v>-0.56805735338046404</v>
      </c>
      <c r="L18" s="52">
        <f t="shared" si="13"/>
        <v>-0.19167091186958737</v>
      </c>
      <c r="M18" s="51">
        <f t="shared" si="13"/>
        <v>-0.33774183796856105</v>
      </c>
      <c r="N18" s="52">
        <f t="shared" si="13"/>
        <v>4.713275726630008E-4</v>
      </c>
      <c r="O18" s="313">
        <f t="shared" ref="O18:R18" si="14">O17/O8</f>
        <v>-8.0134603319454739E-2</v>
      </c>
      <c r="P18" s="301" t="e">
        <f t="shared" si="14"/>
        <v>#DIV/0!</v>
      </c>
      <c r="Q18" s="313" t="e">
        <f t="shared" si="14"/>
        <v>#DIV/0!</v>
      </c>
      <c r="R18" s="301" t="e">
        <f t="shared" si="14"/>
        <v>#DIV/0!</v>
      </c>
      <c r="S18" s="14"/>
      <c r="U18" s="14"/>
    </row>
    <row r="19" spans="2:21">
      <c r="B19" s="139"/>
      <c r="C19" s="32"/>
      <c r="D19" s="32"/>
      <c r="E19" s="146"/>
      <c r="F19" s="32"/>
      <c r="G19" s="33"/>
      <c r="H19" s="34"/>
      <c r="I19" s="33"/>
      <c r="J19" s="34"/>
      <c r="K19" s="35"/>
      <c r="L19" s="36"/>
      <c r="M19" s="35"/>
      <c r="N19" s="36"/>
      <c r="O19" s="316"/>
      <c r="P19" s="317"/>
      <c r="Q19" s="316"/>
      <c r="R19" s="317"/>
      <c r="S19" s="14"/>
      <c r="U19" s="14"/>
    </row>
    <row r="20" spans="2:21">
      <c r="B20" s="47" t="s">
        <v>17</v>
      </c>
      <c r="C20" s="120">
        <v>446</v>
      </c>
      <c r="D20" s="120">
        <v>472</v>
      </c>
      <c r="E20" s="120">
        <v>413</v>
      </c>
      <c r="F20" s="120">
        <v>2266</v>
      </c>
      <c r="G20" s="121">
        <v>1503</v>
      </c>
      <c r="H20" s="122">
        <v>1510</v>
      </c>
      <c r="I20" s="122">
        <v>1418</v>
      </c>
      <c r="J20" s="122">
        <v>1473</v>
      </c>
      <c r="K20" s="118">
        <v>786</v>
      </c>
      <c r="L20" s="178">
        <v>764</v>
      </c>
      <c r="M20" s="118">
        <v>746</v>
      </c>
      <c r="N20" s="187">
        <v>723</v>
      </c>
      <c r="O20" s="279">
        <v>1480</v>
      </c>
      <c r="P20" s="288"/>
      <c r="Q20" s="279"/>
      <c r="R20" s="290"/>
      <c r="S20" s="14"/>
      <c r="U20" s="14"/>
    </row>
    <row r="21" spans="2:21">
      <c r="B21" s="47" t="s">
        <v>18</v>
      </c>
      <c r="C21" s="120">
        <v>951</v>
      </c>
      <c r="D21" s="120">
        <v>916</v>
      </c>
      <c r="E21" s="120">
        <v>920</v>
      </c>
      <c r="F21" s="120">
        <v>915</v>
      </c>
      <c r="G21" s="121">
        <v>596</v>
      </c>
      <c r="H21" s="122">
        <v>602</v>
      </c>
      <c r="I21" s="122">
        <v>563</v>
      </c>
      <c r="J21" s="122">
        <v>577</v>
      </c>
      <c r="K21" s="118">
        <v>554</v>
      </c>
      <c r="L21" s="178">
        <v>567</v>
      </c>
      <c r="M21" s="118">
        <v>582</v>
      </c>
      <c r="N21" s="187">
        <v>597</v>
      </c>
      <c r="O21" s="279">
        <v>606</v>
      </c>
      <c r="P21" s="288"/>
      <c r="Q21" s="279"/>
      <c r="R21" s="290"/>
      <c r="S21" s="14"/>
      <c r="U21" s="14"/>
    </row>
    <row r="22" spans="2:21">
      <c r="B22" s="47" t="s">
        <v>19</v>
      </c>
      <c r="C22" s="120">
        <v>0</v>
      </c>
      <c r="D22" s="120">
        <v>0</v>
      </c>
      <c r="E22" s="120">
        <v>0</v>
      </c>
      <c r="F22" s="120">
        <v>0</v>
      </c>
      <c r="G22" s="121">
        <v>0</v>
      </c>
      <c r="H22" s="122">
        <v>0</v>
      </c>
      <c r="I22" s="122">
        <v>0</v>
      </c>
      <c r="J22" s="122">
        <v>7844</v>
      </c>
      <c r="K22" s="118">
        <v>0</v>
      </c>
      <c r="L22" s="178">
        <v>278</v>
      </c>
      <c r="M22" s="118">
        <v>0</v>
      </c>
      <c r="N22" s="187">
        <v>0</v>
      </c>
      <c r="O22" s="279"/>
      <c r="P22" s="288"/>
      <c r="Q22" s="279"/>
      <c r="R22" s="290"/>
      <c r="S22" s="14"/>
      <c r="U22" s="14"/>
    </row>
    <row r="23" spans="2:21">
      <c r="B23" s="140"/>
      <c r="C23" s="120"/>
      <c r="D23" s="188"/>
      <c r="E23" s="188"/>
      <c r="F23" s="188"/>
      <c r="G23" s="121"/>
      <c r="H23" s="189"/>
      <c r="I23" s="189"/>
      <c r="J23" s="189"/>
      <c r="K23" s="118"/>
      <c r="L23" s="178"/>
      <c r="M23" s="118"/>
      <c r="N23" s="187"/>
      <c r="O23" s="279"/>
      <c r="P23" s="288"/>
      <c r="Q23" s="279"/>
      <c r="R23" s="290"/>
      <c r="S23" s="14"/>
      <c r="U23" s="14"/>
    </row>
    <row r="24" spans="2:21">
      <c r="B24" s="138" t="s">
        <v>20</v>
      </c>
      <c r="C24" s="81">
        <f>C17-C20-C21-C22</f>
        <v>-12</v>
      </c>
      <c r="D24" s="81">
        <f t="shared" ref="D24:F24" si="15">D17-D20-D21-D22</f>
        <v>-5242</v>
      </c>
      <c r="E24" s="184">
        <f t="shared" si="15"/>
        <v>-7783</v>
      </c>
      <c r="F24" s="81">
        <f t="shared" si="15"/>
        <v>-6130</v>
      </c>
      <c r="G24" s="185">
        <f>G17-G20-G21-G22</f>
        <v>1277</v>
      </c>
      <c r="H24" s="82">
        <f t="shared" ref="H24:N24" si="16">H17-H20-H21-H22</f>
        <v>-3757</v>
      </c>
      <c r="I24" s="185">
        <f t="shared" si="16"/>
        <v>-7950</v>
      </c>
      <c r="J24" s="82">
        <f t="shared" si="16"/>
        <v>-13233</v>
      </c>
      <c r="K24" s="186">
        <f t="shared" si="16"/>
        <v>-7045</v>
      </c>
      <c r="L24" s="83">
        <f t="shared" si="16"/>
        <v>-4619</v>
      </c>
      <c r="M24" s="186">
        <f t="shared" si="16"/>
        <v>-5797</v>
      </c>
      <c r="N24" s="83">
        <f t="shared" si="16"/>
        <v>-1314</v>
      </c>
      <c r="O24" s="312">
        <f t="shared" ref="O24:R24" si="17">O17-O20-O21-O22</f>
        <v>-3491</v>
      </c>
      <c r="P24" s="269">
        <f t="shared" si="17"/>
        <v>0</v>
      </c>
      <c r="Q24" s="312">
        <f t="shared" si="17"/>
        <v>0</v>
      </c>
      <c r="R24" s="269">
        <f t="shared" si="17"/>
        <v>0</v>
      </c>
      <c r="S24" s="14"/>
      <c r="U24" s="14"/>
    </row>
    <row r="25" spans="2:21">
      <c r="B25" s="47" t="s">
        <v>21</v>
      </c>
      <c r="C25" s="102">
        <f>C24/C8</f>
        <v>-4.0891433244735228E-4</v>
      </c>
      <c r="D25" s="102">
        <f t="shared" ref="D25:F25" si="18">D24/D8</f>
        <v>-0.22883834635700878</v>
      </c>
      <c r="E25" s="102">
        <f t="shared" si="18"/>
        <v>-0.44390577767638167</v>
      </c>
      <c r="F25" s="102">
        <f t="shared" si="18"/>
        <v>-0.2266173752310536</v>
      </c>
      <c r="G25" s="49">
        <f>G24/G8</f>
        <v>5.7151808091657715E-2</v>
      </c>
      <c r="H25" s="49">
        <f t="shared" ref="H25:N25" si="19">H24/H8</f>
        <v>-0.32133082449538147</v>
      </c>
      <c r="I25" s="49">
        <f t="shared" si="19"/>
        <v>-0.74278239745865648</v>
      </c>
      <c r="J25" s="49">
        <f t="shared" si="19"/>
        <v>-1.1578440808469683</v>
      </c>
      <c r="K25" s="51">
        <f t="shared" si="19"/>
        <v>-0.70148362043214174</v>
      </c>
      <c r="L25" s="51">
        <f t="shared" si="19"/>
        <v>-0.29412888436067242</v>
      </c>
      <c r="M25" s="51">
        <f t="shared" si="19"/>
        <v>-0.43810459492140263</v>
      </c>
      <c r="N25" s="51">
        <f t="shared" si="19"/>
        <v>-0.10322073841319718</v>
      </c>
      <c r="O25" s="313">
        <f t="shared" ref="O25:R25" si="20">O24/O8</f>
        <v>-0.19911024924428222</v>
      </c>
      <c r="P25" s="313" t="e">
        <f t="shared" si="20"/>
        <v>#DIV/0!</v>
      </c>
      <c r="Q25" s="313" t="e">
        <f t="shared" si="20"/>
        <v>#DIV/0!</v>
      </c>
      <c r="R25" s="313" t="e">
        <f t="shared" si="20"/>
        <v>#DIV/0!</v>
      </c>
      <c r="S25" s="14"/>
      <c r="U25" s="14"/>
    </row>
    <row r="26" spans="2:21" ht="15.5">
      <c r="B26" s="10"/>
      <c r="C26" s="16"/>
      <c r="D26" s="16"/>
      <c r="E26" s="16"/>
      <c r="F26" s="16"/>
      <c r="G26" s="4"/>
      <c r="H26" s="4"/>
      <c r="I26" s="4"/>
      <c r="J26" s="4"/>
      <c r="K26" s="7"/>
      <c r="L26" s="7"/>
      <c r="M26" s="7"/>
      <c r="N26" s="7"/>
      <c r="O26" s="346"/>
      <c r="P26" s="346"/>
      <c r="Q26" s="346"/>
      <c r="R26" s="346"/>
      <c r="S26" s="14"/>
      <c r="U26" s="14"/>
    </row>
    <row r="27" spans="2:21" ht="33" customHeight="1">
      <c r="B27" s="364" t="s">
        <v>22</v>
      </c>
      <c r="C27" s="364"/>
      <c r="D27" s="364"/>
      <c r="E27" s="364"/>
      <c r="F27" s="364"/>
      <c r="G27" s="364"/>
      <c r="H27" s="364"/>
      <c r="I27" s="364"/>
      <c r="J27" s="364"/>
      <c r="K27" s="364"/>
      <c r="L27" s="364"/>
      <c r="M27" s="364"/>
      <c r="N27" s="364"/>
      <c r="O27" s="364"/>
      <c r="P27" s="364"/>
      <c r="Q27" s="364"/>
      <c r="R27" s="364"/>
      <c r="S27" s="364"/>
      <c r="U27" s="211"/>
    </row>
    <row r="29" spans="2:21">
      <c r="C29" s="18"/>
      <c r="D29" s="18"/>
      <c r="E29" s="18"/>
      <c r="F29" s="18"/>
      <c r="G29" s="18"/>
      <c r="H29" s="18"/>
      <c r="I29" s="18"/>
      <c r="J29" s="18"/>
      <c r="K29" s="18"/>
      <c r="L29" s="18"/>
      <c r="M29" s="18"/>
      <c r="N29" s="18"/>
      <c r="O29" s="18"/>
      <c r="P29" s="18"/>
      <c r="Q29" s="18"/>
      <c r="R29" s="18"/>
    </row>
    <row r="30" spans="2:21">
      <c r="C30" s="18"/>
      <c r="D30" s="18"/>
      <c r="E30" s="18"/>
      <c r="F30" s="18"/>
      <c r="G30" s="18"/>
      <c r="H30" s="18"/>
      <c r="I30" s="18"/>
      <c r="J30" s="18"/>
      <c r="K30" s="18"/>
      <c r="L30" s="18"/>
      <c r="M30" s="18"/>
      <c r="N30" s="18"/>
      <c r="O30" s="18"/>
      <c r="P30" s="18"/>
      <c r="Q30" s="18"/>
      <c r="R30" s="18"/>
    </row>
    <row r="31" spans="2:21">
      <c r="C31" s="18"/>
      <c r="D31" s="18"/>
      <c r="E31" s="18"/>
      <c r="F31" s="18"/>
      <c r="G31" s="18"/>
      <c r="H31" s="18"/>
      <c r="I31" s="18"/>
      <c r="J31" s="18"/>
      <c r="K31" s="18"/>
      <c r="L31" s="18"/>
      <c r="M31" s="18"/>
      <c r="N31" s="18"/>
      <c r="O31" s="18"/>
      <c r="P31" s="18"/>
      <c r="Q31" s="18"/>
      <c r="R31" s="18"/>
    </row>
    <row r="32" spans="2:21">
      <c r="C32" s="18"/>
      <c r="D32" s="18"/>
      <c r="E32" s="18"/>
      <c r="F32" s="18"/>
      <c r="G32" s="18"/>
      <c r="H32" s="18"/>
      <c r="I32" s="18"/>
      <c r="J32" s="18"/>
      <c r="K32" s="18"/>
      <c r="L32" s="18"/>
      <c r="M32" s="18"/>
      <c r="N32" s="18"/>
      <c r="O32" s="18"/>
      <c r="P32" s="18"/>
      <c r="Q32" s="18"/>
      <c r="R32" s="18"/>
    </row>
    <row r="34" spans="3:18">
      <c r="C34" s="18"/>
      <c r="D34" s="18"/>
      <c r="E34" s="18"/>
      <c r="F34" s="18"/>
      <c r="G34" s="18"/>
      <c r="H34" s="18"/>
      <c r="I34" s="18"/>
      <c r="J34" s="18"/>
      <c r="K34" s="18"/>
      <c r="L34" s="18"/>
      <c r="M34" s="18"/>
      <c r="N34" s="18"/>
      <c r="O34" s="18"/>
      <c r="P34" s="18"/>
      <c r="Q34" s="18"/>
      <c r="R34" s="18"/>
    </row>
    <row r="35" spans="3:18">
      <c r="C35" s="18"/>
      <c r="D35" s="18"/>
      <c r="E35" s="18"/>
      <c r="F35" s="18"/>
      <c r="G35" s="18"/>
      <c r="H35" s="18"/>
      <c r="I35" s="18"/>
      <c r="J35" s="18"/>
      <c r="K35" s="18"/>
      <c r="L35" s="18"/>
      <c r="M35" s="18"/>
      <c r="N35" s="18"/>
      <c r="O35" s="18"/>
      <c r="P35" s="18"/>
      <c r="Q35" s="18"/>
      <c r="R35" s="18"/>
    </row>
    <row r="39" spans="3:18">
      <c r="C39" s="18"/>
      <c r="D39" s="18"/>
      <c r="E39" s="18"/>
      <c r="F39" s="18"/>
      <c r="G39" s="18"/>
      <c r="H39" s="18"/>
      <c r="I39" s="18"/>
      <c r="J39" s="18"/>
      <c r="K39" s="18"/>
      <c r="L39" s="18"/>
      <c r="M39" s="18"/>
      <c r="N39" s="18"/>
      <c r="O39" s="18"/>
      <c r="P39" s="18"/>
      <c r="Q39" s="18"/>
      <c r="R39" s="18"/>
    </row>
    <row r="44" spans="3:18">
      <c r="C44" s="18"/>
      <c r="D44" s="18"/>
      <c r="E44" s="18"/>
      <c r="F44" s="18"/>
      <c r="G44" s="18"/>
      <c r="H44" s="18"/>
      <c r="I44" s="18"/>
      <c r="J44" s="18"/>
      <c r="K44" s="18"/>
      <c r="L44" s="18"/>
      <c r="M44" s="18"/>
      <c r="N44" s="18"/>
      <c r="O44" s="18"/>
      <c r="P44" s="18"/>
      <c r="Q44" s="18"/>
      <c r="R44" s="18"/>
    </row>
    <row r="45" spans="3:18">
      <c r="C45" s="18"/>
      <c r="D45" s="18"/>
      <c r="E45" s="18"/>
      <c r="F45" s="18"/>
      <c r="G45" s="18"/>
      <c r="H45" s="18"/>
      <c r="I45" s="18"/>
      <c r="J45" s="18"/>
      <c r="K45" s="18"/>
      <c r="L45" s="18"/>
      <c r="M45" s="18"/>
      <c r="N45" s="18"/>
      <c r="O45" s="18"/>
      <c r="P45" s="18"/>
      <c r="Q45" s="18"/>
      <c r="R45" s="18"/>
    </row>
    <row r="46" spans="3:18">
      <c r="C46" s="18"/>
      <c r="D46" s="18"/>
      <c r="E46" s="18"/>
      <c r="F46" s="18"/>
      <c r="G46" s="18"/>
      <c r="H46" s="18"/>
      <c r="I46" s="18"/>
      <c r="J46" s="18"/>
      <c r="K46" s="18"/>
      <c r="L46" s="18"/>
      <c r="M46" s="18"/>
      <c r="N46" s="18"/>
      <c r="O46" s="18"/>
      <c r="P46" s="18"/>
      <c r="Q46" s="18"/>
      <c r="R46" s="18"/>
    </row>
  </sheetData>
  <mergeCells count="5">
    <mergeCell ref="G3:J3"/>
    <mergeCell ref="K3:N3"/>
    <mergeCell ref="B27:S27"/>
    <mergeCell ref="C3:F3"/>
    <mergeCell ref="O3:R3"/>
  </mergeCells>
  <pageMargins left="0.7" right="0.7" top="0.75" bottom="0.75" header="0.3" footer="0.3"/>
  <pageSetup paperSize="9" scale="57" orientation="landscape"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46"/>
  <sheetViews>
    <sheetView view="pageBreakPreview" zoomScale="80" zoomScaleNormal="100" zoomScaleSheetLayoutView="80" workbookViewId="0">
      <selection activeCell="K5" sqref="K5"/>
    </sheetView>
  </sheetViews>
  <sheetFormatPr defaultRowHeight="14.5"/>
  <cols>
    <col min="1" max="1" width="2.453125" customWidth="1"/>
    <col min="2" max="2" width="24.90625" customWidth="1"/>
    <col min="3" max="18" width="10.54296875" customWidth="1"/>
    <col min="19" max="19" width="3" customWidth="1"/>
  </cols>
  <sheetData>
    <row r="1" spans="2:19" ht="15" thickBot="1"/>
    <row r="2" spans="2:19" ht="16" thickBot="1">
      <c r="B2" s="1" t="s">
        <v>24</v>
      </c>
      <c r="C2" s="11"/>
      <c r="D2" s="11"/>
      <c r="E2" s="11"/>
      <c r="F2" s="11"/>
      <c r="G2" s="11"/>
      <c r="H2" s="11"/>
      <c r="I2" s="11"/>
      <c r="J2" s="11"/>
      <c r="K2" s="11"/>
      <c r="L2" s="11"/>
      <c r="M2" s="11"/>
      <c r="N2" s="12"/>
      <c r="O2" s="218"/>
      <c r="P2" s="218"/>
      <c r="Q2" s="218"/>
      <c r="R2" s="218"/>
      <c r="S2" s="13"/>
    </row>
    <row r="3" spans="2:19" ht="15" thickBot="1">
      <c r="B3" s="132"/>
      <c r="C3" s="363">
        <v>2016</v>
      </c>
      <c r="D3" s="355"/>
      <c r="E3" s="355"/>
      <c r="F3" s="356"/>
      <c r="G3" s="357">
        <v>2017</v>
      </c>
      <c r="H3" s="358"/>
      <c r="I3" s="358"/>
      <c r="J3" s="359"/>
      <c r="K3" s="360">
        <v>2018</v>
      </c>
      <c r="L3" s="361"/>
      <c r="M3" s="361"/>
      <c r="N3" s="362"/>
      <c r="O3" s="365">
        <v>2019</v>
      </c>
      <c r="P3" s="366"/>
      <c r="Q3" s="366"/>
      <c r="R3" s="367"/>
      <c r="S3" s="141"/>
    </row>
    <row r="4" spans="2:19" ht="15" thickBot="1">
      <c r="B4" s="8" t="s">
        <v>1</v>
      </c>
      <c r="C4" s="147" t="s">
        <v>2</v>
      </c>
      <c r="D4" s="147" t="s">
        <v>3</v>
      </c>
      <c r="E4" s="147" t="s">
        <v>4</v>
      </c>
      <c r="F4" s="148" t="s">
        <v>5</v>
      </c>
      <c r="G4" s="64" t="s">
        <v>2</v>
      </c>
      <c r="H4" s="64" t="s">
        <v>3</v>
      </c>
      <c r="I4" s="64" t="s">
        <v>4</v>
      </c>
      <c r="J4" s="65" t="s">
        <v>5</v>
      </c>
      <c r="K4" s="66" t="s">
        <v>2</v>
      </c>
      <c r="L4" s="66" t="s">
        <v>3</v>
      </c>
      <c r="M4" s="66" t="s">
        <v>4</v>
      </c>
      <c r="N4" s="67" t="s">
        <v>5</v>
      </c>
      <c r="O4" s="265" t="s">
        <v>2</v>
      </c>
      <c r="P4" s="265" t="s">
        <v>3</v>
      </c>
      <c r="Q4" s="265" t="s">
        <v>4</v>
      </c>
      <c r="R4" s="266" t="s">
        <v>5</v>
      </c>
      <c r="S4" s="141"/>
    </row>
    <row r="5" spans="2:19">
      <c r="B5" s="72" t="s">
        <v>6</v>
      </c>
      <c r="C5" s="73">
        <v>12591</v>
      </c>
      <c r="D5" s="73">
        <v>9556</v>
      </c>
      <c r="E5" s="73">
        <v>6977</v>
      </c>
      <c r="F5" s="73">
        <v>16365</v>
      </c>
      <c r="G5" s="74">
        <v>12948</v>
      </c>
      <c r="H5" s="74">
        <v>10547</v>
      </c>
      <c r="I5" s="74">
        <v>11857</v>
      </c>
      <c r="J5" s="74">
        <v>10719</v>
      </c>
      <c r="K5" s="75">
        <f>19615-418</f>
        <v>19197</v>
      </c>
      <c r="L5" s="75">
        <v>11646</v>
      </c>
      <c r="M5" s="75">
        <v>14757</v>
      </c>
      <c r="N5" s="75">
        <v>22488</v>
      </c>
      <c r="O5" s="268">
        <v>23729</v>
      </c>
      <c r="P5" s="268"/>
      <c r="Q5" s="268"/>
      <c r="R5" s="268"/>
      <c r="S5" s="141"/>
    </row>
    <row r="6" spans="2:19">
      <c r="B6" s="96" t="s">
        <v>7</v>
      </c>
      <c r="C6" s="73">
        <v>2608</v>
      </c>
      <c r="D6" s="73">
        <v>424</v>
      </c>
      <c r="E6" s="73">
        <v>752</v>
      </c>
      <c r="F6" s="73">
        <v>1491</v>
      </c>
      <c r="G6" s="74">
        <v>3488</v>
      </c>
      <c r="H6" s="74">
        <v>3686</v>
      </c>
      <c r="I6" s="74">
        <v>530</v>
      </c>
      <c r="J6" s="74">
        <v>2842</v>
      </c>
      <c r="K6" s="75">
        <v>295</v>
      </c>
      <c r="L6" s="75">
        <v>1108</v>
      </c>
      <c r="M6" s="75">
        <v>1201</v>
      </c>
      <c r="N6" s="75">
        <v>1267</v>
      </c>
      <c r="O6" s="268">
        <v>124</v>
      </c>
      <c r="P6" s="268"/>
      <c r="Q6" s="268"/>
      <c r="R6" s="268"/>
      <c r="S6" s="141"/>
    </row>
    <row r="7" spans="2:19">
      <c r="B7" s="170" t="s">
        <v>8</v>
      </c>
      <c r="C7" s="77">
        <v>0</v>
      </c>
      <c r="D7" s="77">
        <v>0</v>
      </c>
      <c r="E7" s="77">
        <v>0</v>
      </c>
      <c r="F7" s="77">
        <v>737</v>
      </c>
      <c r="G7" s="78">
        <v>1212</v>
      </c>
      <c r="H7" s="78">
        <v>2044</v>
      </c>
      <c r="I7" s="78">
        <v>1898</v>
      </c>
      <c r="J7" s="78">
        <v>2237</v>
      </c>
      <c r="K7" s="79">
        <v>418</v>
      </c>
      <c r="L7" s="79">
        <v>2868</v>
      </c>
      <c r="M7" s="79">
        <v>323</v>
      </c>
      <c r="N7" s="79">
        <v>2132</v>
      </c>
      <c r="O7" s="296">
        <v>660</v>
      </c>
      <c r="P7" s="296"/>
      <c r="Q7" s="296"/>
      <c r="R7" s="296"/>
      <c r="S7" s="141"/>
    </row>
    <row r="8" spans="2:19">
      <c r="B8" s="138" t="s">
        <v>9</v>
      </c>
      <c r="C8" s="81">
        <f t="shared" ref="C8:F8" si="0">SUM(C5:C7)</f>
        <v>15199</v>
      </c>
      <c r="D8" s="81">
        <f t="shared" si="0"/>
        <v>9980</v>
      </c>
      <c r="E8" s="81">
        <f t="shared" si="0"/>
        <v>7729</v>
      </c>
      <c r="F8" s="81">
        <f t="shared" si="0"/>
        <v>18593</v>
      </c>
      <c r="G8" s="82">
        <f t="shared" ref="G8:N8" si="1">SUM(G5:G7)</f>
        <v>17648</v>
      </c>
      <c r="H8" s="82">
        <f t="shared" si="1"/>
        <v>16277</v>
      </c>
      <c r="I8" s="82">
        <f t="shared" si="1"/>
        <v>14285</v>
      </c>
      <c r="J8" s="82">
        <f t="shared" si="1"/>
        <v>15798</v>
      </c>
      <c r="K8" s="83">
        <f t="shared" si="1"/>
        <v>19910</v>
      </c>
      <c r="L8" s="83">
        <f t="shared" si="1"/>
        <v>15622</v>
      </c>
      <c r="M8" s="83">
        <f t="shared" si="1"/>
        <v>16281</v>
      </c>
      <c r="N8" s="83">
        <f t="shared" si="1"/>
        <v>25887</v>
      </c>
      <c r="O8" s="269">
        <f t="shared" ref="O8:R8" si="2">SUM(O5:O7)</f>
        <v>24513</v>
      </c>
      <c r="P8" s="269">
        <f t="shared" si="2"/>
        <v>0</v>
      </c>
      <c r="Q8" s="269">
        <f t="shared" si="2"/>
        <v>0</v>
      </c>
      <c r="R8" s="269">
        <f t="shared" si="2"/>
        <v>0</v>
      </c>
      <c r="S8" s="141"/>
    </row>
    <row r="9" spans="2:19">
      <c r="B9" s="92"/>
      <c r="C9" s="69"/>
      <c r="D9" s="182"/>
      <c r="E9" s="156"/>
      <c r="F9" s="182"/>
      <c r="G9" s="93"/>
      <c r="H9" s="183"/>
      <c r="I9" s="93"/>
      <c r="J9" s="183"/>
      <c r="K9" s="94"/>
      <c r="L9" s="177"/>
      <c r="M9" s="94"/>
      <c r="N9" s="177"/>
      <c r="O9" s="271"/>
      <c r="P9" s="287"/>
      <c r="Q9" s="271"/>
      <c r="R9" s="287"/>
      <c r="S9" s="141"/>
    </row>
    <row r="10" spans="2:19">
      <c r="B10" s="47" t="s">
        <v>10</v>
      </c>
      <c r="C10" s="73">
        <v>2809</v>
      </c>
      <c r="D10" s="73">
        <v>6540</v>
      </c>
      <c r="E10" s="158">
        <v>7657</v>
      </c>
      <c r="F10" s="73">
        <v>23247</v>
      </c>
      <c r="G10" s="117">
        <v>5920</v>
      </c>
      <c r="H10" s="74">
        <v>7175</v>
      </c>
      <c r="I10" s="117">
        <v>6515</v>
      </c>
      <c r="J10" s="74">
        <v>4898</v>
      </c>
      <c r="K10" s="119">
        <v>6888</v>
      </c>
      <c r="L10" s="75">
        <v>5312</v>
      </c>
      <c r="M10" s="119">
        <v>3981</v>
      </c>
      <c r="N10" s="75">
        <v>9503</v>
      </c>
      <c r="O10" s="280">
        <v>8218</v>
      </c>
      <c r="P10" s="268"/>
      <c r="Q10" s="280"/>
      <c r="R10" s="268"/>
      <c r="S10" s="142"/>
    </row>
    <row r="11" spans="2:19">
      <c r="B11" s="47" t="s">
        <v>133</v>
      </c>
      <c r="C11" s="73">
        <v>652</v>
      </c>
      <c r="D11" s="73">
        <v>749</v>
      </c>
      <c r="E11" s="158">
        <v>641</v>
      </c>
      <c r="F11" s="73">
        <v>346</v>
      </c>
      <c r="G11" s="117">
        <v>324</v>
      </c>
      <c r="H11" s="74">
        <v>159</v>
      </c>
      <c r="I11" s="117">
        <v>270</v>
      </c>
      <c r="J11" s="74">
        <v>318</v>
      </c>
      <c r="K11" s="119">
        <v>345</v>
      </c>
      <c r="L11" s="75">
        <v>434</v>
      </c>
      <c r="M11" s="119">
        <v>411</v>
      </c>
      <c r="N11" s="75">
        <v>338</v>
      </c>
      <c r="O11" s="280">
        <v>431</v>
      </c>
      <c r="P11" s="268"/>
      <c r="Q11" s="280"/>
      <c r="R11" s="268"/>
      <c r="S11" s="142"/>
    </row>
    <row r="12" spans="2:19">
      <c r="B12" s="136" t="s">
        <v>12</v>
      </c>
      <c r="C12" s="81">
        <f t="shared" ref="C12:F12" si="3">C8-C10-C11</f>
        <v>11738</v>
      </c>
      <c r="D12" s="81">
        <f t="shared" si="3"/>
        <v>2691</v>
      </c>
      <c r="E12" s="184">
        <f t="shared" si="3"/>
        <v>-569</v>
      </c>
      <c r="F12" s="81">
        <f t="shared" si="3"/>
        <v>-5000</v>
      </c>
      <c r="G12" s="185">
        <f t="shared" ref="G12:N12" si="4">G8-G10-G11</f>
        <v>11404</v>
      </c>
      <c r="H12" s="82">
        <f t="shared" si="4"/>
        <v>8943</v>
      </c>
      <c r="I12" s="185">
        <f t="shared" si="4"/>
        <v>7500</v>
      </c>
      <c r="J12" s="82">
        <f t="shared" si="4"/>
        <v>10582</v>
      </c>
      <c r="K12" s="186">
        <f t="shared" si="4"/>
        <v>12677</v>
      </c>
      <c r="L12" s="83">
        <f t="shared" si="4"/>
        <v>9876</v>
      </c>
      <c r="M12" s="186">
        <f t="shared" si="4"/>
        <v>11889</v>
      </c>
      <c r="N12" s="83">
        <f t="shared" si="4"/>
        <v>16046</v>
      </c>
      <c r="O12" s="312">
        <f t="shared" ref="O12:R12" si="5">O8-O10-O11</f>
        <v>15864</v>
      </c>
      <c r="P12" s="269">
        <f t="shared" si="5"/>
        <v>0</v>
      </c>
      <c r="Q12" s="312">
        <f t="shared" si="5"/>
        <v>0</v>
      </c>
      <c r="R12" s="269">
        <f t="shared" si="5"/>
        <v>0</v>
      </c>
      <c r="S12" s="142"/>
    </row>
    <row r="13" spans="2:19">
      <c r="B13" s="47" t="s">
        <v>13</v>
      </c>
      <c r="C13" s="48">
        <f t="shared" ref="C13:F13" si="6">C12/C8</f>
        <v>0.7722876505033226</v>
      </c>
      <c r="D13" s="48">
        <f t="shared" si="6"/>
        <v>0.26963927855711423</v>
      </c>
      <c r="E13" s="102">
        <f t="shared" si="6"/>
        <v>-7.3618838142062368E-2</v>
      </c>
      <c r="F13" s="48">
        <f t="shared" si="6"/>
        <v>-0.26891841015435919</v>
      </c>
      <c r="G13" s="49">
        <f t="shared" ref="G13:N13" si="7">G12/G8</f>
        <v>0.64619220308250225</v>
      </c>
      <c r="H13" s="50">
        <f t="shared" si="7"/>
        <v>0.54942556982244883</v>
      </c>
      <c r="I13" s="49">
        <f t="shared" si="7"/>
        <v>0.52502625131256564</v>
      </c>
      <c r="J13" s="50">
        <f t="shared" si="7"/>
        <v>0.66983162425623499</v>
      </c>
      <c r="K13" s="51">
        <f t="shared" si="7"/>
        <v>0.63671521848317425</v>
      </c>
      <c r="L13" s="52">
        <f t="shared" si="7"/>
        <v>0.63218537959288179</v>
      </c>
      <c r="M13" s="51">
        <f t="shared" si="7"/>
        <v>0.73023770038695412</v>
      </c>
      <c r="N13" s="52">
        <f t="shared" si="7"/>
        <v>0.61984780005408124</v>
      </c>
      <c r="O13" s="313">
        <f t="shared" ref="O13:R13" si="8">O12/O8</f>
        <v>0.64716680944804794</v>
      </c>
      <c r="P13" s="301" t="e">
        <f t="shared" si="8"/>
        <v>#DIV/0!</v>
      </c>
      <c r="Q13" s="313" t="e">
        <f t="shared" si="8"/>
        <v>#DIV/0!</v>
      </c>
      <c r="R13" s="301" t="e">
        <f t="shared" si="8"/>
        <v>#DIV/0!</v>
      </c>
      <c r="S13" s="142"/>
    </row>
    <row r="14" spans="2:19">
      <c r="B14" s="137"/>
      <c r="C14" s="97"/>
      <c r="D14" s="97"/>
      <c r="E14" s="145"/>
      <c r="F14" s="97"/>
      <c r="G14" s="98"/>
      <c r="H14" s="99"/>
      <c r="I14" s="98"/>
      <c r="J14" s="99"/>
      <c r="K14" s="100"/>
      <c r="L14" s="101"/>
      <c r="M14" s="100"/>
      <c r="N14" s="101"/>
      <c r="O14" s="314"/>
      <c r="P14" s="315"/>
      <c r="Q14" s="314"/>
      <c r="R14" s="315"/>
      <c r="S14" s="142"/>
    </row>
    <row r="15" spans="2:19">
      <c r="B15" s="47" t="s">
        <v>14</v>
      </c>
      <c r="C15" s="73">
        <v>11291</v>
      </c>
      <c r="D15" s="73">
        <v>3287</v>
      </c>
      <c r="E15" s="158">
        <v>9242</v>
      </c>
      <c r="F15" s="73">
        <v>7872</v>
      </c>
      <c r="G15" s="117">
        <v>7648</v>
      </c>
      <c r="H15" s="74">
        <v>6800</v>
      </c>
      <c r="I15" s="117">
        <v>8424</v>
      </c>
      <c r="J15" s="74">
        <v>10758</v>
      </c>
      <c r="K15" s="119">
        <v>8653</v>
      </c>
      <c r="L15" s="75">
        <v>9036</v>
      </c>
      <c r="M15" s="119">
        <v>10326</v>
      </c>
      <c r="N15" s="75">
        <v>12410</v>
      </c>
      <c r="O15" s="280">
        <v>9146</v>
      </c>
      <c r="P15" s="268"/>
      <c r="Q15" s="280"/>
      <c r="R15" s="268"/>
      <c r="S15" s="142"/>
    </row>
    <row r="16" spans="2:19">
      <c r="B16" s="137"/>
      <c r="C16" s="69"/>
      <c r="D16" s="69"/>
      <c r="E16" s="156"/>
      <c r="F16" s="69"/>
      <c r="G16" s="93"/>
      <c r="H16" s="70"/>
      <c r="I16" s="93"/>
      <c r="J16" s="70"/>
      <c r="K16" s="94"/>
      <c r="L16" s="71"/>
      <c r="M16" s="94"/>
      <c r="N16" s="71"/>
      <c r="O16" s="271"/>
      <c r="P16" s="267"/>
      <c r="Q16" s="271"/>
      <c r="R16" s="267"/>
      <c r="S16" s="142"/>
    </row>
    <row r="17" spans="2:19">
      <c r="B17" s="138" t="s">
        <v>15</v>
      </c>
      <c r="C17" s="81">
        <f t="shared" ref="C17:F17" si="9">C12-C15</f>
        <v>447</v>
      </c>
      <c r="D17" s="81">
        <f t="shared" si="9"/>
        <v>-596</v>
      </c>
      <c r="E17" s="184">
        <f t="shared" si="9"/>
        <v>-9811</v>
      </c>
      <c r="F17" s="81">
        <f t="shared" si="9"/>
        <v>-12872</v>
      </c>
      <c r="G17" s="185">
        <f t="shared" ref="G17:N17" si="10">G12-G15</f>
        <v>3756</v>
      </c>
      <c r="H17" s="82">
        <f t="shared" si="10"/>
        <v>2143</v>
      </c>
      <c r="I17" s="185">
        <f t="shared" si="10"/>
        <v>-924</v>
      </c>
      <c r="J17" s="82">
        <f t="shared" si="10"/>
        <v>-176</v>
      </c>
      <c r="K17" s="186">
        <f t="shared" si="10"/>
        <v>4024</v>
      </c>
      <c r="L17" s="83">
        <f t="shared" si="10"/>
        <v>840</v>
      </c>
      <c r="M17" s="186">
        <f t="shared" si="10"/>
        <v>1563</v>
      </c>
      <c r="N17" s="83">
        <f t="shared" si="10"/>
        <v>3636</v>
      </c>
      <c r="O17" s="312">
        <f t="shared" ref="O17:R17" si="11">O12-O15</f>
        <v>6718</v>
      </c>
      <c r="P17" s="269">
        <f t="shared" si="11"/>
        <v>0</v>
      </c>
      <c r="Q17" s="312">
        <f t="shared" si="11"/>
        <v>0</v>
      </c>
      <c r="R17" s="269">
        <f t="shared" si="11"/>
        <v>0</v>
      </c>
      <c r="S17" s="142"/>
    </row>
    <row r="18" spans="2:19">
      <c r="B18" s="47" t="s">
        <v>16</v>
      </c>
      <c r="C18" s="48">
        <f t="shared" ref="C18:F18" si="12">C17/C8</f>
        <v>2.940982959405224E-2</v>
      </c>
      <c r="D18" s="48">
        <f t="shared" si="12"/>
        <v>-5.9719438877755514E-2</v>
      </c>
      <c r="E18" s="102">
        <f t="shared" si="12"/>
        <v>-1.2693750808642774</v>
      </c>
      <c r="F18" s="48">
        <f t="shared" si="12"/>
        <v>-0.6923035551013822</v>
      </c>
      <c r="G18" s="49">
        <f t="shared" ref="G18:N18" si="13">G17/G8</f>
        <v>0.21282864913871261</v>
      </c>
      <c r="H18" s="50">
        <f t="shared" si="13"/>
        <v>0.13165816796707011</v>
      </c>
      <c r="I18" s="49">
        <f t="shared" si="13"/>
        <v>-6.4683234161708084E-2</v>
      </c>
      <c r="J18" s="50">
        <f t="shared" si="13"/>
        <v>-1.1140650715280415E-2</v>
      </c>
      <c r="K18" s="51">
        <f t="shared" si="13"/>
        <v>0.20210949271722753</v>
      </c>
      <c r="L18" s="52">
        <f t="shared" si="13"/>
        <v>5.3770323902189221E-2</v>
      </c>
      <c r="M18" s="51">
        <f t="shared" si="13"/>
        <v>9.600147411092684E-2</v>
      </c>
      <c r="N18" s="52">
        <f t="shared" si="13"/>
        <v>0.14045659983775641</v>
      </c>
      <c r="O18" s="313">
        <f t="shared" ref="O18:R18" si="14">O17/O8</f>
        <v>0.27405866275037732</v>
      </c>
      <c r="P18" s="301" t="e">
        <f t="shared" si="14"/>
        <v>#DIV/0!</v>
      </c>
      <c r="Q18" s="313" t="e">
        <f t="shared" si="14"/>
        <v>#DIV/0!</v>
      </c>
      <c r="R18" s="301" t="e">
        <f t="shared" si="14"/>
        <v>#DIV/0!</v>
      </c>
      <c r="S18" s="142"/>
    </row>
    <row r="19" spans="2:19">
      <c r="B19" s="139"/>
      <c r="C19" s="32"/>
      <c r="D19" s="32"/>
      <c r="E19" s="146"/>
      <c r="F19" s="32"/>
      <c r="G19" s="33"/>
      <c r="H19" s="34"/>
      <c r="I19" s="33"/>
      <c r="J19" s="34"/>
      <c r="K19" s="35"/>
      <c r="L19" s="36"/>
      <c r="M19" s="35"/>
      <c r="N19" s="36"/>
      <c r="O19" s="316"/>
      <c r="P19" s="317"/>
      <c r="Q19" s="316"/>
      <c r="R19" s="317"/>
      <c r="S19" s="142"/>
    </row>
    <row r="20" spans="2:19">
      <c r="B20" s="47" t="s">
        <v>17</v>
      </c>
      <c r="C20" s="120">
        <v>740</v>
      </c>
      <c r="D20" s="120">
        <v>692</v>
      </c>
      <c r="E20" s="159">
        <v>637</v>
      </c>
      <c r="F20" s="120">
        <v>1014</v>
      </c>
      <c r="G20" s="121">
        <v>1320</v>
      </c>
      <c r="H20" s="122">
        <v>1348</v>
      </c>
      <c r="I20" s="121">
        <v>1309</v>
      </c>
      <c r="J20" s="122">
        <v>1359</v>
      </c>
      <c r="K20" s="118">
        <v>1387</v>
      </c>
      <c r="L20" s="178">
        <v>1355</v>
      </c>
      <c r="M20" s="118">
        <v>1332</v>
      </c>
      <c r="N20" s="187">
        <v>667</v>
      </c>
      <c r="O20" s="279">
        <v>2117</v>
      </c>
      <c r="P20" s="288"/>
      <c r="Q20" s="279"/>
      <c r="R20" s="290"/>
      <c r="S20" s="142"/>
    </row>
    <row r="21" spans="2:19">
      <c r="B21" s="47" t="s">
        <v>18</v>
      </c>
      <c r="C21" s="120">
        <v>2274</v>
      </c>
      <c r="D21" s="120">
        <v>2196</v>
      </c>
      <c r="E21" s="120">
        <v>2086</v>
      </c>
      <c r="F21" s="120">
        <v>2002</v>
      </c>
      <c r="G21" s="121">
        <v>1212</v>
      </c>
      <c r="H21" s="122">
        <v>1264</v>
      </c>
      <c r="I21" s="122">
        <v>1209</v>
      </c>
      <c r="J21" s="122">
        <v>1258</v>
      </c>
      <c r="K21" s="118">
        <v>1265</v>
      </c>
      <c r="L21" s="178">
        <v>1034</v>
      </c>
      <c r="M21" s="118">
        <v>1018</v>
      </c>
      <c r="N21" s="187">
        <v>1030</v>
      </c>
      <c r="O21" s="279">
        <v>1060</v>
      </c>
      <c r="P21" s="288"/>
      <c r="Q21" s="279"/>
      <c r="R21" s="290"/>
      <c r="S21" s="142"/>
    </row>
    <row r="22" spans="2:19">
      <c r="B22" s="47" t="s">
        <v>19</v>
      </c>
      <c r="C22" s="120">
        <v>0</v>
      </c>
      <c r="D22" s="120">
        <v>0</v>
      </c>
      <c r="E22" s="120">
        <v>0</v>
      </c>
      <c r="F22" s="120">
        <v>0</v>
      </c>
      <c r="G22" s="121">
        <v>0</v>
      </c>
      <c r="H22" s="122">
        <v>0</v>
      </c>
      <c r="I22" s="122">
        <v>0</v>
      </c>
      <c r="J22" s="122">
        <v>0</v>
      </c>
      <c r="K22" s="118">
        <v>0</v>
      </c>
      <c r="L22" s="178">
        <v>0</v>
      </c>
      <c r="M22" s="118">
        <v>0</v>
      </c>
      <c r="N22" s="187">
        <v>0</v>
      </c>
      <c r="O22" s="279"/>
      <c r="P22" s="288"/>
      <c r="Q22" s="279"/>
      <c r="R22" s="290"/>
      <c r="S22" s="142"/>
    </row>
    <row r="23" spans="2:19">
      <c r="B23" s="140"/>
      <c r="C23" s="120"/>
      <c r="D23" s="120"/>
      <c r="E23" s="159"/>
      <c r="F23" s="120"/>
      <c r="G23" s="121"/>
      <c r="H23" s="122"/>
      <c r="I23" s="121"/>
      <c r="J23" s="122"/>
      <c r="K23" s="118"/>
      <c r="L23" s="178"/>
      <c r="M23" s="118"/>
      <c r="N23" s="187"/>
      <c r="O23" s="279"/>
      <c r="P23" s="288"/>
      <c r="Q23" s="279"/>
      <c r="R23" s="290"/>
      <c r="S23" s="142"/>
    </row>
    <row r="24" spans="2:19">
      <c r="B24" s="138" t="s">
        <v>20</v>
      </c>
      <c r="C24" s="81">
        <f>C17-C20-C21-C22</f>
        <v>-2567</v>
      </c>
      <c r="D24" s="81">
        <f t="shared" ref="D24:F24" si="15">D17-D20-D21-D22</f>
        <v>-3484</v>
      </c>
      <c r="E24" s="184">
        <f t="shared" si="15"/>
        <v>-12534</v>
      </c>
      <c r="F24" s="81">
        <f t="shared" si="15"/>
        <v>-15888</v>
      </c>
      <c r="G24" s="185">
        <f>G17-G20-G21-G22</f>
        <v>1224</v>
      </c>
      <c r="H24" s="82">
        <f t="shared" ref="H24:N24" si="16">H17-H20-H21-H22</f>
        <v>-469</v>
      </c>
      <c r="I24" s="185">
        <f t="shared" si="16"/>
        <v>-3442</v>
      </c>
      <c r="J24" s="82">
        <f t="shared" si="16"/>
        <v>-2793</v>
      </c>
      <c r="K24" s="186">
        <f t="shared" si="16"/>
        <v>1372</v>
      </c>
      <c r="L24" s="83">
        <f t="shared" si="16"/>
        <v>-1549</v>
      </c>
      <c r="M24" s="186">
        <f t="shared" si="16"/>
        <v>-787</v>
      </c>
      <c r="N24" s="83">
        <f t="shared" si="16"/>
        <v>1939</v>
      </c>
      <c r="O24" s="312">
        <f t="shared" ref="O24:R24" si="17">O17-O20-O21-O22</f>
        <v>3541</v>
      </c>
      <c r="P24" s="269">
        <f t="shared" si="17"/>
        <v>0</v>
      </c>
      <c r="Q24" s="312">
        <f t="shared" si="17"/>
        <v>0</v>
      </c>
      <c r="R24" s="269">
        <f t="shared" si="17"/>
        <v>0</v>
      </c>
      <c r="S24" s="142"/>
    </row>
    <row r="25" spans="2:19">
      <c r="B25" s="47" t="s">
        <v>21</v>
      </c>
      <c r="C25" s="102">
        <f>C24/C8</f>
        <v>-0.16889269030857293</v>
      </c>
      <c r="D25" s="102">
        <f t="shared" ref="D25:F25" si="18">D24/D8</f>
        <v>-0.34909819639278555</v>
      </c>
      <c r="E25" s="102">
        <f t="shared" si="18"/>
        <v>-1.6216845646267304</v>
      </c>
      <c r="F25" s="102">
        <f t="shared" si="18"/>
        <v>-0.85451514010649166</v>
      </c>
      <c r="G25" s="49">
        <f>G24/G8</f>
        <v>6.9356300997280143E-2</v>
      </c>
      <c r="H25" s="49">
        <f t="shared" ref="H25:N25" si="19">H24/H8</f>
        <v>-2.8813663451495976E-2</v>
      </c>
      <c r="I25" s="49">
        <f t="shared" si="19"/>
        <v>-0.24095204760238012</v>
      </c>
      <c r="J25" s="49">
        <f t="shared" si="19"/>
        <v>-0.17679453095328523</v>
      </c>
      <c r="K25" s="51">
        <f t="shared" si="19"/>
        <v>6.8910095429432452E-2</v>
      </c>
      <c r="L25" s="51">
        <f t="shared" si="19"/>
        <v>-9.9155037767251306E-2</v>
      </c>
      <c r="M25" s="51">
        <f t="shared" si="19"/>
        <v>-4.8338554142865919E-2</v>
      </c>
      <c r="N25" s="51">
        <f t="shared" si="19"/>
        <v>7.490246069455711E-2</v>
      </c>
      <c r="O25" s="313">
        <f t="shared" ref="O25:R25" si="20">O24/O8</f>
        <v>0.14445396320319831</v>
      </c>
      <c r="P25" s="313" t="e">
        <f t="shared" si="20"/>
        <v>#DIV/0!</v>
      </c>
      <c r="Q25" s="313" t="e">
        <f t="shared" si="20"/>
        <v>#DIV/0!</v>
      </c>
      <c r="R25" s="313" t="e">
        <f t="shared" si="20"/>
        <v>#DIV/0!</v>
      </c>
      <c r="S25" s="142"/>
    </row>
    <row r="26" spans="2:19">
      <c r="B26" s="47"/>
      <c r="C26" s="103"/>
      <c r="D26" s="103"/>
      <c r="E26" s="103"/>
      <c r="F26" s="103"/>
      <c r="G26" s="104"/>
      <c r="H26" s="104"/>
      <c r="I26" s="104"/>
      <c r="J26" s="104"/>
      <c r="K26" s="105"/>
      <c r="L26" s="105"/>
      <c r="M26" s="105"/>
      <c r="N26" s="105"/>
      <c r="O26" s="347"/>
      <c r="P26" s="347"/>
      <c r="Q26" s="347"/>
      <c r="R26" s="347"/>
      <c r="S26" s="142"/>
    </row>
    <row r="27" spans="2:19" ht="33" customHeight="1">
      <c r="B27" s="364" t="s">
        <v>22</v>
      </c>
      <c r="C27" s="364"/>
      <c r="D27" s="364"/>
      <c r="E27" s="364"/>
      <c r="F27" s="364"/>
      <c r="G27" s="364"/>
      <c r="H27" s="364"/>
      <c r="I27" s="364"/>
      <c r="J27" s="364"/>
      <c r="K27" s="364"/>
      <c r="L27" s="364"/>
      <c r="M27" s="364"/>
      <c r="N27" s="364"/>
      <c r="O27" s="364"/>
      <c r="P27" s="364"/>
      <c r="Q27" s="364"/>
      <c r="R27" s="364"/>
      <c r="S27" s="364"/>
    </row>
    <row r="29" spans="2:19">
      <c r="C29" s="18"/>
      <c r="D29" s="18"/>
      <c r="E29" s="18"/>
      <c r="F29" s="18"/>
      <c r="G29" s="18"/>
      <c r="H29" s="18"/>
      <c r="I29" s="18"/>
      <c r="J29" s="18"/>
      <c r="K29" s="18"/>
      <c r="L29" s="18"/>
      <c r="M29" s="18"/>
      <c r="N29" s="18"/>
      <c r="O29" s="18"/>
      <c r="P29" s="18"/>
      <c r="Q29" s="18"/>
      <c r="R29" s="18"/>
    </row>
    <row r="30" spans="2:19">
      <c r="C30" s="18"/>
      <c r="D30" s="18"/>
      <c r="E30" s="18"/>
      <c r="F30" s="18"/>
      <c r="G30" s="18"/>
      <c r="H30" s="18"/>
      <c r="I30" s="18"/>
      <c r="J30" s="18"/>
      <c r="K30" s="18"/>
      <c r="L30" s="18"/>
      <c r="M30" s="18"/>
      <c r="N30" s="18"/>
      <c r="O30" s="18"/>
      <c r="P30" s="18"/>
      <c r="Q30" s="18"/>
      <c r="R30" s="18"/>
    </row>
    <row r="31" spans="2:19">
      <c r="C31" s="18"/>
      <c r="D31" s="18"/>
      <c r="E31" s="18"/>
      <c r="F31" s="18"/>
      <c r="G31" s="18"/>
      <c r="H31" s="18"/>
      <c r="I31" s="18"/>
      <c r="J31" s="18"/>
      <c r="K31" s="18"/>
      <c r="L31" s="18"/>
      <c r="M31" s="18"/>
      <c r="N31" s="18"/>
      <c r="O31" s="18"/>
      <c r="P31" s="18"/>
      <c r="Q31" s="18"/>
      <c r="R31" s="18"/>
    </row>
    <row r="32" spans="2:19">
      <c r="G32" s="18"/>
    </row>
    <row r="34" spans="3:18">
      <c r="C34" s="18"/>
      <c r="D34" s="18"/>
      <c r="E34" s="18"/>
      <c r="F34" s="18"/>
      <c r="G34" s="18"/>
      <c r="H34" s="18"/>
      <c r="I34" s="18"/>
      <c r="J34" s="18"/>
      <c r="K34" s="18"/>
      <c r="L34" s="18"/>
      <c r="M34" s="18"/>
      <c r="N34" s="18"/>
      <c r="O34" s="18"/>
      <c r="P34" s="18"/>
      <c r="Q34" s="18"/>
      <c r="R34" s="18"/>
    </row>
    <row r="35" spans="3:18">
      <c r="C35" s="18"/>
      <c r="D35" s="18"/>
      <c r="E35" s="18"/>
      <c r="F35" s="18"/>
      <c r="G35" s="18"/>
      <c r="H35" s="18"/>
      <c r="I35" s="18"/>
      <c r="J35" s="18"/>
      <c r="K35" s="18"/>
      <c r="L35" s="18"/>
      <c r="M35" s="18"/>
      <c r="N35" s="18"/>
      <c r="O35" s="18"/>
      <c r="P35" s="18"/>
      <c r="Q35" s="18"/>
      <c r="R35" s="18"/>
    </row>
    <row r="39" spans="3:18">
      <c r="C39" s="18"/>
      <c r="D39" s="18"/>
      <c r="E39" s="18"/>
      <c r="F39" s="18"/>
      <c r="G39" s="18"/>
      <c r="H39" s="18"/>
      <c r="I39" s="18"/>
      <c r="J39" s="18"/>
      <c r="K39" s="18"/>
      <c r="L39" s="18"/>
      <c r="M39" s="18"/>
      <c r="N39" s="18"/>
      <c r="O39" s="18"/>
      <c r="P39" s="18"/>
      <c r="Q39" s="18"/>
      <c r="R39" s="18"/>
    </row>
    <row r="44" spans="3:18">
      <c r="C44" s="18"/>
      <c r="D44" s="18"/>
      <c r="E44" s="18"/>
      <c r="F44" s="18"/>
      <c r="G44" s="18"/>
      <c r="H44" s="18"/>
      <c r="I44" s="18"/>
      <c r="J44" s="18"/>
      <c r="K44" s="18"/>
      <c r="L44" s="18"/>
      <c r="M44" s="18"/>
      <c r="N44" s="18"/>
      <c r="O44" s="18"/>
      <c r="P44" s="18"/>
      <c r="Q44" s="18"/>
      <c r="R44" s="18"/>
    </row>
    <row r="45" spans="3:18">
      <c r="C45" s="18"/>
      <c r="D45" s="18"/>
      <c r="E45" s="18"/>
      <c r="F45" s="18"/>
      <c r="G45" s="18"/>
      <c r="H45" s="18"/>
      <c r="I45" s="18"/>
      <c r="J45" s="18"/>
      <c r="K45" s="18"/>
      <c r="L45" s="18"/>
      <c r="M45" s="18"/>
      <c r="N45" s="18"/>
      <c r="O45" s="18"/>
      <c r="P45" s="18"/>
      <c r="Q45" s="18"/>
      <c r="R45" s="18"/>
    </row>
    <row r="46" spans="3:18">
      <c r="C46" s="18"/>
      <c r="D46" s="18"/>
      <c r="E46" s="18"/>
      <c r="F46" s="18"/>
      <c r="G46" s="18"/>
      <c r="H46" s="18"/>
      <c r="I46" s="18"/>
      <c r="J46" s="18"/>
      <c r="K46" s="18"/>
      <c r="L46" s="18"/>
      <c r="M46" s="18"/>
      <c r="N46" s="18"/>
      <c r="O46" s="18"/>
      <c r="P46" s="18"/>
      <c r="Q46" s="18"/>
      <c r="R46" s="18"/>
    </row>
  </sheetData>
  <mergeCells count="5">
    <mergeCell ref="G3:J3"/>
    <mergeCell ref="K3:N3"/>
    <mergeCell ref="B27:S27"/>
    <mergeCell ref="C3:F3"/>
    <mergeCell ref="O3:R3"/>
  </mergeCells>
  <pageMargins left="0.7" right="0.7" top="0.75" bottom="0.75" header="0.3" footer="0.3"/>
  <pageSetup paperSize="9" scale="57" orientation="landscape"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S46"/>
  <sheetViews>
    <sheetView view="pageBreakPreview" zoomScale="80" zoomScaleNormal="100" zoomScaleSheetLayoutView="80" workbookViewId="0">
      <selection activeCell="O17" sqref="O17"/>
    </sheetView>
  </sheetViews>
  <sheetFormatPr defaultRowHeight="14.5"/>
  <cols>
    <col min="1" max="1" width="2.453125" customWidth="1"/>
    <col min="2" max="2" width="24.90625" customWidth="1"/>
    <col min="3" max="18" width="10.54296875" customWidth="1"/>
    <col min="19" max="19" width="3" customWidth="1"/>
  </cols>
  <sheetData>
    <row r="1" spans="2:19" ht="15" thickBot="1"/>
    <row r="2" spans="2:19" ht="16" thickBot="1">
      <c r="B2" s="1" t="s">
        <v>25</v>
      </c>
      <c r="C2" s="11"/>
      <c r="D2" s="11"/>
      <c r="E2" s="11"/>
      <c r="F2" s="11"/>
      <c r="G2" s="11"/>
      <c r="H2" s="11"/>
      <c r="I2" s="11"/>
      <c r="J2" s="11"/>
      <c r="K2" s="11"/>
      <c r="L2" s="11"/>
      <c r="M2" s="11"/>
      <c r="N2" s="12"/>
      <c r="O2" s="218"/>
      <c r="P2" s="218"/>
      <c r="Q2" s="218"/>
      <c r="R2" s="218"/>
      <c r="S2" s="13"/>
    </row>
    <row r="3" spans="2:19" ht="15" thickBot="1">
      <c r="B3" s="132"/>
      <c r="C3" s="363">
        <v>2016</v>
      </c>
      <c r="D3" s="355"/>
      <c r="E3" s="355"/>
      <c r="F3" s="356"/>
      <c r="G3" s="357">
        <v>2017</v>
      </c>
      <c r="H3" s="358"/>
      <c r="I3" s="358"/>
      <c r="J3" s="359"/>
      <c r="K3" s="360">
        <v>2018</v>
      </c>
      <c r="L3" s="361"/>
      <c r="M3" s="361"/>
      <c r="N3" s="362"/>
      <c r="O3" s="365">
        <v>2019</v>
      </c>
      <c r="P3" s="366"/>
      <c r="Q3" s="366"/>
      <c r="R3" s="367"/>
      <c r="S3" s="141"/>
    </row>
    <row r="4" spans="2:19" ht="15" thickBot="1">
      <c r="B4" s="8" t="s">
        <v>1</v>
      </c>
      <c r="C4" s="147" t="s">
        <v>2</v>
      </c>
      <c r="D4" s="147" t="s">
        <v>3</v>
      </c>
      <c r="E4" s="147" t="s">
        <v>4</v>
      </c>
      <c r="F4" s="148" t="s">
        <v>5</v>
      </c>
      <c r="G4" s="64" t="s">
        <v>2</v>
      </c>
      <c r="H4" s="64" t="s">
        <v>3</v>
      </c>
      <c r="I4" s="64" t="s">
        <v>4</v>
      </c>
      <c r="J4" s="65" t="s">
        <v>5</v>
      </c>
      <c r="K4" s="66" t="s">
        <v>2</v>
      </c>
      <c r="L4" s="66" t="s">
        <v>3</v>
      </c>
      <c r="M4" s="66" t="s">
        <v>4</v>
      </c>
      <c r="N4" s="67" t="s">
        <v>5</v>
      </c>
      <c r="O4" s="265" t="s">
        <v>2</v>
      </c>
      <c r="P4" s="265" t="s">
        <v>3</v>
      </c>
      <c r="Q4" s="265" t="s">
        <v>4</v>
      </c>
      <c r="R4" s="266" t="s">
        <v>5</v>
      </c>
      <c r="S4" s="141"/>
    </row>
    <row r="5" spans="2:19">
      <c r="B5" s="72" t="s">
        <v>6</v>
      </c>
      <c r="C5" s="73">
        <v>2357</v>
      </c>
      <c r="D5" s="73">
        <v>1547</v>
      </c>
      <c r="E5" s="73">
        <v>1111</v>
      </c>
      <c r="F5" s="73">
        <v>774</v>
      </c>
      <c r="G5" s="74">
        <v>473</v>
      </c>
      <c r="H5" s="74">
        <v>7091</v>
      </c>
      <c r="I5" s="74">
        <v>1234</v>
      </c>
      <c r="J5" s="74">
        <v>5066</v>
      </c>
      <c r="K5" s="75">
        <v>358</v>
      </c>
      <c r="L5" s="75">
        <v>63</v>
      </c>
      <c r="M5" s="75">
        <v>700</v>
      </c>
      <c r="N5" s="75">
        <v>43</v>
      </c>
      <c r="O5" s="268">
        <v>265</v>
      </c>
      <c r="P5" s="268"/>
      <c r="Q5" s="268"/>
      <c r="R5" s="268"/>
      <c r="S5" s="141"/>
    </row>
    <row r="6" spans="2:19">
      <c r="B6" s="96" t="s">
        <v>7</v>
      </c>
      <c r="C6" s="73">
        <v>0</v>
      </c>
      <c r="D6" s="73">
        <v>0</v>
      </c>
      <c r="E6" s="73">
        <v>51</v>
      </c>
      <c r="F6" s="73">
        <v>52</v>
      </c>
      <c r="G6" s="74">
        <v>-12</v>
      </c>
      <c r="H6" s="74">
        <v>12</v>
      </c>
      <c r="I6" s="74">
        <v>0</v>
      </c>
      <c r="J6" s="74">
        <v>0</v>
      </c>
      <c r="K6" s="75">
        <v>0</v>
      </c>
      <c r="L6" s="75">
        <v>0</v>
      </c>
      <c r="M6" s="75">
        <v>0</v>
      </c>
      <c r="N6" s="75">
        <v>0</v>
      </c>
      <c r="O6" s="268">
        <v>0</v>
      </c>
      <c r="P6" s="268"/>
      <c r="Q6" s="268"/>
      <c r="R6" s="268"/>
      <c r="S6" s="141"/>
    </row>
    <row r="7" spans="2:19">
      <c r="B7" s="170" t="s">
        <v>8</v>
      </c>
      <c r="C7" s="77">
        <v>18782</v>
      </c>
      <c r="D7" s="77">
        <v>25532</v>
      </c>
      <c r="E7" s="77">
        <v>23480</v>
      </c>
      <c r="F7" s="77">
        <v>25143</v>
      </c>
      <c r="G7" s="78">
        <v>37020</v>
      </c>
      <c r="H7" s="78">
        <v>35441</v>
      </c>
      <c r="I7" s="78">
        <v>25233</v>
      </c>
      <c r="J7" s="78">
        <v>27928</v>
      </c>
      <c r="K7" s="79">
        <v>19776</v>
      </c>
      <c r="L7" s="79">
        <v>46263</v>
      </c>
      <c r="M7" s="79">
        <v>40459</v>
      </c>
      <c r="N7" s="79">
        <v>49434</v>
      </c>
      <c r="O7" s="296">
        <v>29504</v>
      </c>
      <c r="P7" s="296"/>
      <c r="Q7" s="296"/>
      <c r="R7" s="296"/>
      <c r="S7" s="141"/>
    </row>
    <row r="8" spans="2:19">
      <c r="B8" s="138" t="s">
        <v>9</v>
      </c>
      <c r="C8" s="81">
        <f t="shared" ref="C8:F8" si="0">SUM(C5:C7)</f>
        <v>21139</v>
      </c>
      <c r="D8" s="81">
        <f t="shared" si="0"/>
        <v>27079</v>
      </c>
      <c r="E8" s="81">
        <f t="shared" si="0"/>
        <v>24642</v>
      </c>
      <c r="F8" s="81">
        <f t="shared" si="0"/>
        <v>25969</v>
      </c>
      <c r="G8" s="82">
        <f t="shared" ref="G8:N8" si="1">SUM(G5:G7)</f>
        <v>37481</v>
      </c>
      <c r="H8" s="82">
        <f t="shared" si="1"/>
        <v>42544</v>
      </c>
      <c r="I8" s="82">
        <f t="shared" si="1"/>
        <v>26467</v>
      </c>
      <c r="J8" s="82">
        <f t="shared" si="1"/>
        <v>32994</v>
      </c>
      <c r="K8" s="83">
        <f t="shared" si="1"/>
        <v>20134</v>
      </c>
      <c r="L8" s="83">
        <f t="shared" si="1"/>
        <v>46326</v>
      </c>
      <c r="M8" s="83">
        <f t="shared" si="1"/>
        <v>41159</v>
      </c>
      <c r="N8" s="83">
        <f t="shared" si="1"/>
        <v>49477</v>
      </c>
      <c r="O8" s="269">
        <f t="shared" ref="O8:R8" si="2">SUM(O5:O7)</f>
        <v>29769</v>
      </c>
      <c r="P8" s="269">
        <f t="shared" si="2"/>
        <v>0</v>
      </c>
      <c r="Q8" s="269">
        <f t="shared" si="2"/>
        <v>0</v>
      </c>
      <c r="R8" s="269">
        <f t="shared" si="2"/>
        <v>0</v>
      </c>
      <c r="S8" s="141"/>
    </row>
    <row r="9" spans="2:19">
      <c r="B9" s="92"/>
      <c r="C9" s="69"/>
      <c r="D9" s="182"/>
      <c r="E9" s="156"/>
      <c r="F9" s="182"/>
      <c r="G9" s="93"/>
      <c r="H9" s="183"/>
      <c r="I9" s="93"/>
      <c r="J9" s="183"/>
      <c r="K9" s="94"/>
      <c r="L9" s="177"/>
      <c r="M9" s="94"/>
      <c r="N9" s="177"/>
      <c r="O9" s="271"/>
      <c r="P9" s="287"/>
      <c r="Q9" s="271"/>
      <c r="R9" s="287"/>
      <c r="S9" s="141"/>
    </row>
    <row r="10" spans="2:19">
      <c r="B10" s="47" t="s">
        <v>10</v>
      </c>
      <c r="C10" s="73">
        <v>12864</v>
      </c>
      <c r="D10" s="73">
        <v>14637</v>
      </c>
      <c r="E10" s="158">
        <v>18495</v>
      </c>
      <c r="F10" s="73">
        <v>19482</v>
      </c>
      <c r="G10" s="117">
        <v>20554</v>
      </c>
      <c r="H10" s="74">
        <v>23865</v>
      </c>
      <c r="I10" s="117">
        <v>15808</v>
      </c>
      <c r="J10" s="74">
        <v>17583</v>
      </c>
      <c r="K10" s="119">
        <v>10782</v>
      </c>
      <c r="L10" s="75">
        <v>14327</v>
      </c>
      <c r="M10" s="119">
        <v>17901</v>
      </c>
      <c r="N10" s="75">
        <v>22276</v>
      </c>
      <c r="O10" s="280">
        <v>15376</v>
      </c>
      <c r="P10" s="268"/>
      <c r="Q10" s="280"/>
      <c r="R10" s="268"/>
      <c r="S10" s="142"/>
    </row>
    <row r="11" spans="2:19">
      <c r="B11" s="47" t="s">
        <v>133</v>
      </c>
      <c r="C11" s="73">
        <v>374</v>
      </c>
      <c r="D11" s="73">
        <v>243</v>
      </c>
      <c r="E11" s="158">
        <v>0</v>
      </c>
      <c r="F11" s="73">
        <v>0</v>
      </c>
      <c r="G11" s="117">
        <v>165</v>
      </c>
      <c r="H11" s="74">
        <v>186</v>
      </c>
      <c r="I11" s="117">
        <v>2616</v>
      </c>
      <c r="J11" s="74">
        <v>3559</v>
      </c>
      <c r="K11" s="119">
        <v>1393</v>
      </c>
      <c r="L11" s="75">
        <v>1652</v>
      </c>
      <c r="M11" s="119">
        <v>1963</v>
      </c>
      <c r="N11" s="75">
        <v>1737</v>
      </c>
      <c r="O11" s="280">
        <v>1130</v>
      </c>
      <c r="P11" s="268"/>
      <c r="Q11" s="280"/>
      <c r="R11" s="268"/>
      <c r="S11" s="142"/>
    </row>
    <row r="12" spans="2:19">
      <c r="B12" s="136" t="s">
        <v>12</v>
      </c>
      <c r="C12" s="81">
        <f t="shared" ref="C12:F12" si="3">C8-C10-C11</f>
        <v>7901</v>
      </c>
      <c r="D12" s="81">
        <f t="shared" si="3"/>
        <v>12199</v>
      </c>
      <c r="E12" s="184">
        <f t="shared" si="3"/>
        <v>6147</v>
      </c>
      <c r="F12" s="81">
        <f t="shared" si="3"/>
        <v>6487</v>
      </c>
      <c r="G12" s="185">
        <f t="shared" ref="G12:N12" si="4">G8-G10-G11</f>
        <v>16762</v>
      </c>
      <c r="H12" s="82">
        <f t="shared" si="4"/>
        <v>18493</v>
      </c>
      <c r="I12" s="185">
        <f t="shared" si="4"/>
        <v>8043</v>
      </c>
      <c r="J12" s="82">
        <f t="shared" si="4"/>
        <v>11852</v>
      </c>
      <c r="K12" s="186">
        <f t="shared" si="4"/>
        <v>7959</v>
      </c>
      <c r="L12" s="83">
        <f t="shared" si="4"/>
        <v>30347</v>
      </c>
      <c r="M12" s="186">
        <f t="shared" si="4"/>
        <v>21295</v>
      </c>
      <c r="N12" s="83">
        <f t="shared" si="4"/>
        <v>25464</v>
      </c>
      <c r="O12" s="312">
        <f t="shared" ref="O12:R12" si="5">O8-O10-O11</f>
        <v>13263</v>
      </c>
      <c r="P12" s="269">
        <f t="shared" si="5"/>
        <v>0</v>
      </c>
      <c r="Q12" s="312">
        <f t="shared" si="5"/>
        <v>0</v>
      </c>
      <c r="R12" s="269">
        <f t="shared" si="5"/>
        <v>0</v>
      </c>
      <c r="S12" s="142"/>
    </row>
    <row r="13" spans="2:19">
      <c r="B13" s="47" t="s">
        <v>13</v>
      </c>
      <c r="C13" s="48">
        <f t="shared" ref="C13:F13" si="6">C12/C8</f>
        <v>0.37376413264582053</v>
      </c>
      <c r="D13" s="48">
        <f t="shared" si="6"/>
        <v>0.4504966948557923</v>
      </c>
      <c r="E13" s="102">
        <f t="shared" si="6"/>
        <v>0.24945215485756025</v>
      </c>
      <c r="F13" s="48">
        <f t="shared" si="6"/>
        <v>0.24979783588124302</v>
      </c>
      <c r="G13" s="49">
        <f t="shared" ref="G13:N13" si="7">G12/G8</f>
        <v>0.44721325471572265</v>
      </c>
      <c r="H13" s="50">
        <f t="shared" si="7"/>
        <v>0.43467939074840167</v>
      </c>
      <c r="I13" s="49">
        <f t="shared" si="7"/>
        <v>0.30388786035440357</v>
      </c>
      <c r="J13" s="50">
        <f t="shared" si="7"/>
        <v>0.35921682730193366</v>
      </c>
      <c r="K13" s="51">
        <f t="shared" si="7"/>
        <v>0.39530148008344096</v>
      </c>
      <c r="L13" s="52">
        <f t="shared" si="7"/>
        <v>0.65507490394163104</v>
      </c>
      <c r="M13" s="51">
        <f t="shared" si="7"/>
        <v>0.51738380427124075</v>
      </c>
      <c r="N13" s="52">
        <f t="shared" si="7"/>
        <v>0.51466337894375169</v>
      </c>
      <c r="O13" s="313">
        <f t="shared" ref="O13:R13" si="8">O12/O8</f>
        <v>0.44553058550841479</v>
      </c>
      <c r="P13" s="301" t="e">
        <f t="shared" si="8"/>
        <v>#DIV/0!</v>
      </c>
      <c r="Q13" s="313" t="e">
        <f t="shared" si="8"/>
        <v>#DIV/0!</v>
      </c>
      <c r="R13" s="301" t="e">
        <f t="shared" si="8"/>
        <v>#DIV/0!</v>
      </c>
      <c r="S13" s="142"/>
    </row>
    <row r="14" spans="2:19">
      <c r="B14" s="137"/>
      <c r="C14" s="97"/>
      <c r="D14" s="97"/>
      <c r="E14" s="145"/>
      <c r="F14" s="97"/>
      <c r="G14" s="98"/>
      <c r="H14" s="99"/>
      <c r="I14" s="98"/>
      <c r="J14" s="99"/>
      <c r="K14" s="100"/>
      <c r="L14" s="101"/>
      <c r="M14" s="100"/>
      <c r="N14" s="101"/>
      <c r="O14" s="314"/>
      <c r="P14" s="315"/>
      <c r="Q14" s="314"/>
      <c r="R14" s="315"/>
      <c r="S14" s="142"/>
    </row>
    <row r="15" spans="2:19">
      <c r="B15" s="47" t="s">
        <v>14</v>
      </c>
      <c r="C15" s="73">
        <v>13149</v>
      </c>
      <c r="D15" s="73">
        <v>12792</v>
      </c>
      <c r="E15" s="158">
        <v>14309</v>
      </c>
      <c r="F15" s="73">
        <v>8619</v>
      </c>
      <c r="G15" s="117">
        <v>12791</v>
      </c>
      <c r="H15" s="74">
        <v>12111</v>
      </c>
      <c r="I15" s="117">
        <v>13014</v>
      </c>
      <c r="J15" s="74">
        <v>15693</v>
      </c>
      <c r="K15" s="119">
        <v>13666</v>
      </c>
      <c r="L15" s="75">
        <v>12768</v>
      </c>
      <c r="M15" s="119">
        <v>13894</v>
      </c>
      <c r="N15" s="75">
        <v>14610</v>
      </c>
      <c r="O15" s="280">
        <v>17425</v>
      </c>
      <c r="P15" s="268"/>
      <c r="Q15" s="280"/>
      <c r="R15" s="268"/>
      <c r="S15" s="142"/>
    </row>
    <row r="16" spans="2:19">
      <c r="B16" s="137"/>
      <c r="C16" s="69"/>
      <c r="D16" s="69"/>
      <c r="E16" s="156"/>
      <c r="F16" s="69"/>
      <c r="G16" s="93"/>
      <c r="H16" s="70"/>
      <c r="I16" s="93"/>
      <c r="J16" s="70"/>
      <c r="K16" s="94"/>
      <c r="L16" s="71"/>
      <c r="M16" s="94"/>
      <c r="N16" s="71"/>
      <c r="O16" s="271"/>
      <c r="P16" s="267"/>
      <c r="Q16" s="271"/>
      <c r="R16" s="267"/>
      <c r="S16" s="142"/>
    </row>
    <row r="17" spans="2:19">
      <c r="B17" s="138" t="s">
        <v>15</v>
      </c>
      <c r="C17" s="81">
        <f t="shared" ref="C17:F17" si="9">C12-C15</f>
        <v>-5248</v>
      </c>
      <c r="D17" s="81">
        <f t="shared" si="9"/>
        <v>-593</v>
      </c>
      <c r="E17" s="184">
        <f t="shared" si="9"/>
        <v>-8162</v>
      </c>
      <c r="F17" s="81">
        <f t="shared" si="9"/>
        <v>-2132</v>
      </c>
      <c r="G17" s="185">
        <f t="shared" ref="G17:N17" si="10">G12-G15</f>
        <v>3971</v>
      </c>
      <c r="H17" s="82">
        <f t="shared" si="10"/>
        <v>6382</v>
      </c>
      <c r="I17" s="185">
        <f t="shared" si="10"/>
        <v>-4971</v>
      </c>
      <c r="J17" s="82">
        <f t="shared" si="10"/>
        <v>-3841</v>
      </c>
      <c r="K17" s="186">
        <f t="shared" si="10"/>
        <v>-5707</v>
      </c>
      <c r="L17" s="83">
        <f t="shared" si="10"/>
        <v>17579</v>
      </c>
      <c r="M17" s="186">
        <f t="shared" si="10"/>
        <v>7401</v>
      </c>
      <c r="N17" s="83">
        <f t="shared" si="10"/>
        <v>10854</v>
      </c>
      <c r="O17" s="312">
        <f t="shared" ref="O17:R17" si="11">O12-O15</f>
        <v>-4162</v>
      </c>
      <c r="P17" s="269">
        <f t="shared" si="11"/>
        <v>0</v>
      </c>
      <c r="Q17" s="312">
        <f t="shared" si="11"/>
        <v>0</v>
      </c>
      <c r="R17" s="269">
        <f t="shared" si="11"/>
        <v>0</v>
      </c>
      <c r="S17" s="142"/>
    </row>
    <row r="18" spans="2:19">
      <c r="B18" s="47" t="s">
        <v>16</v>
      </c>
      <c r="C18" s="48">
        <f t="shared" ref="C18:F18" si="12">C17/C8</f>
        <v>-0.248261507166848</v>
      </c>
      <c r="D18" s="48">
        <f t="shared" si="12"/>
        <v>-2.1898888437534621E-2</v>
      </c>
      <c r="E18" s="102">
        <f t="shared" si="12"/>
        <v>-0.33122311500689877</v>
      </c>
      <c r="F18" s="48">
        <f t="shared" si="12"/>
        <v>-8.2097885940929566E-2</v>
      </c>
      <c r="G18" s="49">
        <f t="shared" ref="G18:N18" si="13">G17/G8</f>
        <v>0.10594701315333102</v>
      </c>
      <c r="H18" s="50">
        <f t="shared" si="13"/>
        <v>0.15000940203083865</v>
      </c>
      <c r="I18" s="49">
        <f t="shared" si="13"/>
        <v>-0.18781879321419126</v>
      </c>
      <c r="J18" s="50">
        <f t="shared" si="13"/>
        <v>-0.1164151057768079</v>
      </c>
      <c r="K18" s="51">
        <f t="shared" si="13"/>
        <v>-0.28345087910996325</v>
      </c>
      <c r="L18" s="52">
        <f t="shared" si="13"/>
        <v>0.37946293657989033</v>
      </c>
      <c r="M18" s="51">
        <f t="shared" si="13"/>
        <v>0.17981486430671298</v>
      </c>
      <c r="N18" s="52">
        <f t="shared" si="13"/>
        <v>0.21937465893243324</v>
      </c>
      <c r="O18" s="313">
        <f t="shared" ref="O18:R18" si="14">O17/O8</f>
        <v>-0.13980986932715242</v>
      </c>
      <c r="P18" s="301" t="e">
        <f t="shared" si="14"/>
        <v>#DIV/0!</v>
      </c>
      <c r="Q18" s="313" t="e">
        <f t="shared" si="14"/>
        <v>#DIV/0!</v>
      </c>
      <c r="R18" s="301" t="e">
        <f t="shared" si="14"/>
        <v>#DIV/0!</v>
      </c>
      <c r="S18" s="142"/>
    </row>
    <row r="19" spans="2:19">
      <c r="B19" s="139"/>
      <c r="C19" s="32"/>
      <c r="D19" s="32"/>
      <c r="E19" s="146"/>
      <c r="F19" s="32"/>
      <c r="G19" s="33"/>
      <c r="H19" s="34"/>
      <c r="I19" s="33"/>
      <c r="J19" s="34"/>
      <c r="K19" s="35"/>
      <c r="L19" s="36"/>
      <c r="M19" s="35"/>
      <c r="N19" s="36"/>
      <c r="O19" s="316"/>
      <c r="P19" s="317"/>
      <c r="Q19" s="316"/>
      <c r="R19" s="317"/>
      <c r="S19" s="142"/>
    </row>
    <row r="20" spans="2:19">
      <c r="B20" s="47" t="s">
        <v>17</v>
      </c>
      <c r="C20" s="120">
        <v>59</v>
      </c>
      <c r="D20" s="120">
        <v>119</v>
      </c>
      <c r="E20" s="159">
        <v>243</v>
      </c>
      <c r="F20" s="120">
        <v>580</v>
      </c>
      <c r="G20" s="121">
        <v>997</v>
      </c>
      <c r="H20" s="122">
        <v>965</v>
      </c>
      <c r="I20" s="121">
        <v>999</v>
      </c>
      <c r="J20" s="122">
        <v>1263</v>
      </c>
      <c r="K20" s="118">
        <v>917</v>
      </c>
      <c r="L20" s="178">
        <v>872</v>
      </c>
      <c r="M20" s="118">
        <v>844</v>
      </c>
      <c r="N20" s="187">
        <v>851</v>
      </c>
      <c r="O20" s="279">
        <f>1862-1</f>
        <v>1861</v>
      </c>
      <c r="P20" s="288"/>
      <c r="Q20" s="279"/>
      <c r="R20" s="290"/>
      <c r="S20" s="142"/>
    </row>
    <row r="21" spans="2:19">
      <c r="B21" s="47" t="s">
        <v>18</v>
      </c>
      <c r="C21" s="120">
        <v>2562</v>
      </c>
      <c r="D21" s="120">
        <v>2450</v>
      </c>
      <c r="E21" s="120">
        <v>2037</v>
      </c>
      <c r="F21" s="120">
        <v>2046</v>
      </c>
      <c r="G21" s="121">
        <v>2849</v>
      </c>
      <c r="H21" s="122">
        <v>2907</v>
      </c>
      <c r="I21" s="122">
        <v>2780</v>
      </c>
      <c r="J21" s="122">
        <v>2818</v>
      </c>
      <c r="K21" s="118">
        <v>2622</v>
      </c>
      <c r="L21" s="178">
        <v>2533</v>
      </c>
      <c r="M21" s="118">
        <v>2336</v>
      </c>
      <c r="N21" s="187">
        <v>2386</v>
      </c>
      <c r="O21" s="279">
        <v>2422</v>
      </c>
      <c r="P21" s="288"/>
      <c r="Q21" s="279"/>
      <c r="R21" s="290"/>
      <c r="S21" s="142"/>
    </row>
    <row r="22" spans="2:19">
      <c r="B22" s="47" t="s">
        <v>19</v>
      </c>
      <c r="C22" s="120">
        <v>0</v>
      </c>
      <c r="D22" s="120">
        <v>0</v>
      </c>
      <c r="E22" s="120">
        <v>0</v>
      </c>
      <c r="F22" s="120">
        <v>0</v>
      </c>
      <c r="G22" s="121">
        <v>0</v>
      </c>
      <c r="H22" s="122">
        <v>0</v>
      </c>
      <c r="I22" s="122">
        <v>0</v>
      </c>
      <c r="J22" s="122">
        <v>14032</v>
      </c>
      <c r="K22" s="118">
        <v>0</v>
      </c>
      <c r="L22" s="178">
        <v>0</v>
      </c>
      <c r="M22" s="118">
        <v>0</v>
      </c>
      <c r="N22" s="187">
        <v>0</v>
      </c>
      <c r="O22" s="279"/>
      <c r="P22" s="288"/>
      <c r="Q22" s="279"/>
      <c r="R22" s="290"/>
      <c r="S22" s="142"/>
    </row>
    <row r="23" spans="2:19">
      <c r="B23" s="140"/>
      <c r="C23" s="120"/>
      <c r="D23" s="120"/>
      <c r="E23" s="159"/>
      <c r="F23" s="120"/>
      <c r="G23" s="121"/>
      <c r="H23" s="122"/>
      <c r="I23" s="121"/>
      <c r="J23" s="122"/>
      <c r="K23" s="118"/>
      <c r="L23" s="178"/>
      <c r="M23" s="118"/>
      <c r="N23" s="187"/>
      <c r="O23" s="279"/>
      <c r="P23" s="288"/>
      <c r="Q23" s="279"/>
      <c r="R23" s="290"/>
      <c r="S23" s="142"/>
    </row>
    <row r="24" spans="2:19">
      <c r="B24" s="138" t="s">
        <v>20</v>
      </c>
      <c r="C24" s="81">
        <f>C17-C20-C21-C22</f>
        <v>-7869</v>
      </c>
      <c r="D24" s="81">
        <f t="shared" ref="D24:F24" si="15">D17-D20-D21-D22</f>
        <v>-3162</v>
      </c>
      <c r="E24" s="184">
        <f t="shared" si="15"/>
        <v>-10442</v>
      </c>
      <c r="F24" s="81">
        <f t="shared" si="15"/>
        <v>-4758</v>
      </c>
      <c r="G24" s="185">
        <f>G17-G20-G21-G22</f>
        <v>125</v>
      </c>
      <c r="H24" s="82">
        <f t="shared" ref="H24:N24" si="16">H17-H20-H21-H22</f>
        <v>2510</v>
      </c>
      <c r="I24" s="185">
        <f t="shared" si="16"/>
        <v>-8750</v>
      </c>
      <c r="J24" s="82">
        <f t="shared" si="16"/>
        <v>-21954</v>
      </c>
      <c r="K24" s="186">
        <f t="shared" si="16"/>
        <v>-9246</v>
      </c>
      <c r="L24" s="83">
        <f t="shared" si="16"/>
        <v>14174</v>
      </c>
      <c r="M24" s="186">
        <f>M17-M20-M21-M22</f>
        <v>4221</v>
      </c>
      <c r="N24" s="83">
        <f t="shared" si="16"/>
        <v>7617</v>
      </c>
      <c r="O24" s="312">
        <f t="shared" ref="O24:P24" si="17">O17-O20-O21-O22</f>
        <v>-8445</v>
      </c>
      <c r="P24" s="269">
        <f t="shared" si="17"/>
        <v>0</v>
      </c>
      <c r="Q24" s="312">
        <f>Q17-Q20-Q21-Q22</f>
        <v>0</v>
      </c>
      <c r="R24" s="269">
        <f t="shared" ref="R24" si="18">R17-R20-R21-R22</f>
        <v>0</v>
      </c>
      <c r="S24" s="142"/>
    </row>
    <row r="25" spans="2:19">
      <c r="B25" s="47" t="s">
        <v>21</v>
      </c>
      <c r="C25" s="102">
        <f>C24/C8</f>
        <v>-0.37225034296797388</v>
      </c>
      <c r="D25" s="102">
        <f t="shared" ref="D25:F25" si="19">D24/D8</f>
        <v>-0.11676945234314413</v>
      </c>
      <c r="E25" s="102">
        <f t="shared" si="19"/>
        <v>-0.42374807239672102</v>
      </c>
      <c r="F25" s="102">
        <f t="shared" si="19"/>
        <v>-0.18321845277061111</v>
      </c>
      <c r="G25" s="49">
        <f>G24/G8</f>
        <v>3.3350230783597023E-3</v>
      </c>
      <c r="H25" s="49">
        <f t="shared" ref="H25:N25" si="20">H24/H8</f>
        <v>5.8997743512598719E-2</v>
      </c>
      <c r="I25" s="49">
        <f t="shared" si="20"/>
        <v>-0.33060037027241468</v>
      </c>
      <c r="J25" s="49">
        <f t="shared" si="20"/>
        <v>-0.66539370794689945</v>
      </c>
      <c r="K25" s="51">
        <f t="shared" si="20"/>
        <v>-0.45922320452965132</v>
      </c>
      <c r="L25" s="51">
        <f t="shared" si="20"/>
        <v>0.30596209472002761</v>
      </c>
      <c r="M25" s="51">
        <f>M24/M8</f>
        <v>0.10255351199008722</v>
      </c>
      <c r="N25" s="51">
        <f t="shared" si="20"/>
        <v>0.15395032035087011</v>
      </c>
      <c r="O25" s="313">
        <f t="shared" ref="O25:P25" si="21">O24/O8</f>
        <v>-0.2836843696462763</v>
      </c>
      <c r="P25" s="313" t="e">
        <f t="shared" si="21"/>
        <v>#DIV/0!</v>
      </c>
      <c r="Q25" s="313" t="e">
        <f>Q24/Q8</f>
        <v>#DIV/0!</v>
      </c>
      <c r="R25" s="313" t="e">
        <f t="shared" ref="R25" si="22">R24/R8</f>
        <v>#DIV/0!</v>
      </c>
      <c r="S25" s="142"/>
    </row>
    <row r="26" spans="2:19">
      <c r="B26" s="47"/>
      <c r="C26" s="103"/>
      <c r="D26" s="103"/>
      <c r="E26" s="103"/>
      <c r="F26" s="103"/>
      <c r="G26" s="104"/>
      <c r="H26" s="104"/>
      <c r="I26" s="104"/>
      <c r="J26" s="104"/>
      <c r="K26" s="105"/>
      <c r="L26" s="105"/>
      <c r="M26" s="105"/>
      <c r="N26" s="105"/>
      <c r="O26" s="347"/>
      <c r="P26" s="347"/>
      <c r="Q26" s="347"/>
      <c r="R26" s="347"/>
      <c r="S26" s="142"/>
    </row>
    <row r="27" spans="2:19" ht="33" customHeight="1">
      <c r="B27" s="364" t="s">
        <v>22</v>
      </c>
      <c r="C27" s="364"/>
      <c r="D27" s="364"/>
      <c r="E27" s="364"/>
      <c r="F27" s="364"/>
      <c r="G27" s="364"/>
      <c r="H27" s="364"/>
      <c r="I27" s="364"/>
      <c r="J27" s="364"/>
      <c r="K27" s="364"/>
      <c r="L27" s="364"/>
      <c r="M27" s="364"/>
      <c r="N27" s="364"/>
      <c r="O27" s="364"/>
      <c r="P27" s="364"/>
      <c r="Q27" s="364"/>
      <c r="R27" s="364"/>
      <c r="S27" s="364"/>
    </row>
    <row r="29" spans="2:19">
      <c r="C29" s="18"/>
      <c r="D29" s="18"/>
      <c r="E29" s="18"/>
      <c r="F29" s="18"/>
      <c r="G29" s="18"/>
      <c r="H29" s="18"/>
      <c r="I29" s="18"/>
      <c r="J29" s="18"/>
      <c r="K29" s="18"/>
      <c r="L29" s="18"/>
      <c r="M29" s="18"/>
      <c r="N29" s="18"/>
      <c r="O29" s="18"/>
      <c r="P29" s="18"/>
      <c r="Q29" s="18"/>
      <c r="R29" s="18"/>
    </row>
    <row r="30" spans="2:19">
      <c r="C30" s="18"/>
      <c r="D30" s="18"/>
      <c r="E30" s="18"/>
      <c r="F30" s="18"/>
      <c r="G30" s="18"/>
      <c r="H30" s="18"/>
      <c r="I30" s="18"/>
      <c r="J30" s="18"/>
      <c r="K30" s="18"/>
      <c r="L30" s="18"/>
      <c r="M30" s="18"/>
      <c r="N30" s="18"/>
      <c r="O30" s="18"/>
      <c r="P30" s="18"/>
      <c r="Q30" s="18"/>
      <c r="R30" s="18"/>
    </row>
    <row r="31" spans="2:19">
      <c r="C31" s="18"/>
      <c r="D31" s="18"/>
      <c r="E31" s="18"/>
      <c r="F31" s="18"/>
      <c r="G31" s="18"/>
      <c r="H31" s="18"/>
      <c r="I31" s="18"/>
      <c r="J31" s="18"/>
      <c r="K31" s="18"/>
      <c r="L31" s="18"/>
      <c r="M31" s="18"/>
      <c r="N31" s="18"/>
      <c r="O31" s="18"/>
      <c r="P31" s="18"/>
      <c r="Q31" s="18"/>
      <c r="R31" s="18"/>
    </row>
    <row r="34" spans="3:18">
      <c r="C34" s="18"/>
      <c r="D34" s="18"/>
      <c r="E34" s="18"/>
      <c r="F34" s="18"/>
      <c r="G34" s="18"/>
      <c r="H34" s="18"/>
      <c r="I34" s="18"/>
      <c r="J34" s="18"/>
      <c r="K34" s="18"/>
      <c r="L34" s="18"/>
      <c r="M34" s="18"/>
      <c r="N34" s="18"/>
      <c r="O34" s="18"/>
      <c r="P34" s="18"/>
      <c r="Q34" s="18"/>
      <c r="R34" s="18"/>
    </row>
    <row r="35" spans="3:18">
      <c r="C35" s="18"/>
      <c r="D35" s="18"/>
      <c r="E35" s="18"/>
      <c r="F35" s="18"/>
      <c r="G35" s="18"/>
      <c r="H35" s="18"/>
      <c r="I35" s="18"/>
      <c r="J35" s="18"/>
      <c r="K35" s="18"/>
      <c r="L35" s="18"/>
      <c r="M35" s="18"/>
      <c r="N35" s="18"/>
      <c r="O35" s="18"/>
      <c r="P35" s="18"/>
      <c r="Q35" s="18"/>
      <c r="R35" s="18"/>
    </row>
    <row r="39" spans="3:18">
      <c r="C39" s="18"/>
      <c r="D39" s="18"/>
      <c r="E39" s="18"/>
      <c r="F39" s="18"/>
      <c r="G39" s="18"/>
      <c r="H39" s="18"/>
      <c r="I39" s="18"/>
      <c r="J39" s="18"/>
      <c r="K39" s="18"/>
      <c r="L39" s="18"/>
      <c r="M39" s="18"/>
      <c r="N39" s="18"/>
      <c r="O39" s="18"/>
      <c r="P39" s="18"/>
      <c r="Q39" s="18"/>
      <c r="R39" s="18"/>
    </row>
    <row r="44" spans="3:18">
      <c r="C44" s="18"/>
      <c r="D44" s="18"/>
      <c r="E44" s="18"/>
      <c r="F44" s="18"/>
      <c r="G44" s="18"/>
      <c r="H44" s="18"/>
      <c r="I44" s="18"/>
      <c r="J44" s="18"/>
      <c r="K44" s="18"/>
      <c r="L44" s="18"/>
      <c r="M44" s="18"/>
      <c r="N44" s="18"/>
      <c r="O44" s="18"/>
      <c r="P44" s="18"/>
      <c r="Q44" s="18"/>
      <c r="R44" s="18"/>
    </row>
    <row r="45" spans="3:18">
      <c r="C45" s="18"/>
      <c r="D45" s="18"/>
      <c r="E45" s="18"/>
      <c r="F45" s="18"/>
      <c r="G45" s="18"/>
      <c r="H45" s="18"/>
      <c r="I45" s="18"/>
      <c r="J45" s="18"/>
      <c r="K45" s="18"/>
      <c r="L45" s="18"/>
      <c r="M45" s="18"/>
      <c r="N45" s="18"/>
      <c r="O45" s="18"/>
      <c r="P45" s="18"/>
      <c r="Q45" s="18"/>
      <c r="R45" s="18"/>
    </row>
    <row r="46" spans="3:18">
      <c r="C46" s="18"/>
      <c r="D46" s="18"/>
      <c r="E46" s="18"/>
      <c r="F46" s="18"/>
      <c r="G46" s="18"/>
      <c r="H46" s="18"/>
      <c r="I46" s="18"/>
      <c r="J46" s="18"/>
      <c r="K46" s="18"/>
      <c r="L46" s="18"/>
      <c r="M46" s="18"/>
      <c r="N46" s="18"/>
      <c r="O46" s="18"/>
      <c r="P46" s="18"/>
      <c r="Q46" s="18"/>
      <c r="R46" s="18"/>
    </row>
  </sheetData>
  <mergeCells count="5">
    <mergeCell ref="G3:J3"/>
    <mergeCell ref="K3:N3"/>
    <mergeCell ref="B27:S27"/>
    <mergeCell ref="C3:F3"/>
    <mergeCell ref="O3:R3"/>
  </mergeCells>
  <pageMargins left="0.7" right="0.7" top="0.75" bottom="0.75" header="0.3" footer="0.3"/>
  <pageSetup paperSize="9" scale="57" orientation="landscape"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U46"/>
  <sheetViews>
    <sheetView view="pageBreakPreview" zoomScale="80" zoomScaleNormal="100" zoomScaleSheetLayoutView="80" workbookViewId="0">
      <selection activeCell="Y14" sqref="Y14"/>
    </sheetView>
  </sheetViews>
  <sheetFormatPr defaultRowHeight="14.5"/>
  <cols>
    <col min="1" max="1" width="2.453125" customWidth="1"/>
    <col min="2" max="2" width="24.90625" customWidth="1"/>
    <col min="3" max="18" width="10.54296875" customWidth="1"/>
    <col min="19" max="19" width="3" customWidth="1"/>
  </cols>
  <sheetData>
    <row r="1" spans="2:21" ht="15" thickBot="1"/>
    <row r="2" spans="2:21" ht="16" thickBot="1">
      <c r="B2" s="1" t="s">
        <v>26</v>
      </c>
      <c r="C2" s="11"/>
      <c r="D2" s="11"/>
      <c r="E2" s="11"/>
      <c r="F2" s="11"/>
      <c r="G2" s="11"/>
      <c r="H2" s="11"/>
      <c r="I2" s="11"/>
      <c r="J2" s="11"/>
      <c r="K2" s="11"/>
      <c r="L2" s="11"/>
      <c r="M2" s="11"/>
      <c r="N2" s="12"/>
      <c r="O2" s="218"/>
      <c r="P2" s="218"/>
      <c r="Q2" s="218"/>
      <c r="R2" s="218"/>
      <c r="S2" s="13"/>
      <c r="U2" s="13"/>
    </row>
    <row r="3" spans="2:21" ht="15" thickBot="1">
      <c r="B3" s="132"/>
      <c r="C3" s="363">
        <v>2016</v>
      </c>
      <c r="D3" s="355"/>
      <c r="E3" s="355"/>
      <c r="F3" s="356"/>
      <c r="G3" s="357">
        <v>2017</v>
      </c>
      <c r="H3" s="358"/>
      <c r="I3" s="358"/>
      <c r="J3" s="359"/>
      <c r="K3" s="360">
        <v>2018</v>
      </c>
      <c r="L3" s="361"/>
      <c r="M3" s="361"/>
      <c r="N3" s="362"/>
      <c r="O3" s="365">
        <v>2019</v>
      </c>
      <c r="P3" s="366"/>
      <c r="Q3" s="366"/>
      <c r="R3" s="367"/>
      <c r="S3" s="141"/>
      <c r="U3" s="141"/>
    </row>
    <row r="4" spans="2:21" ht="15" thickBot="1">
      <c r="B4" s="8" t="s">
        <v>1</v>
      </c>
      <c r="C4" s="147" t="s">
        <v>2</v>
      </c>
      <c r="D4" s="147" t="s">
        <v>3</v>
      </c>
      <c r="E4" s="147" t="s">
        <v>4</v>
      </c>
      <c r="F4" s="148" t="s">
        <v>5</v>
      </c>
      <c r="G4" s="64" t="s">
        <v>2</v>
      </c>
      <c r="H4" s="64" t="s">
        <v>3</v>
      </c>
      <c r="I4" s="64" t="s">
        <v>4</v>
      </c>
      <c r="J4" s="65" t="s">
        <v>5</v>
      </c>
      <c r="K4" s="66" t="s">
        <v>2</v>
      </c>
      <c r="L4" s="66" t="s">
        <v>3</v>
      </c>
      <c r="M4" s="66" t="s">
        <v>4</v>
      </c>
      <c r="N4" s="67" t="s">
        <v>5</v>
      </c>
      <c r="O4" s="265" t="s">
        <v>2</v>
      </c>
      <c r="P4" s="265" t="s">
        <v>3</v>
      </c>
      <c r="Q4" s="265" t="s">
        <v>4</v>
      </c>
      <c r="R4" s="266" t="s">
        <v>5</v>
      </c>
      <c r="S4" s="141"/>
      <c r="U4" s="141"/>
    </row>
    <row r="5" spans="2:21">
      <c r="B5" s="72" t="s">
        <v>6</v>
      </c>
      <c r="C5" s="73">
        <v>1709</v>
      </c>
      <c r="D5" s="73">
        <v>782</v>
      </c>
      <c r="E5" s="73">
        <v>2621</v>
      </c>
      <c r="F5" s="73">
        <v>534</v>
      </c>
      <c r="G5" s="74">
        <v>6499</v>
      </c>
      <c r="H5" s="74">
        <v>6990</v>
      </c>
      <c r="I5" s="74">
        <v>1866</v>
      </c>
      <c r="J5" s="74">
        <v>4034</v>
      </c>
      <c r="K5" s="75">
        <v>7469</v>
      </c>
      <c r="L5" s="75">
        <v>5937</v>
      </c>
      <c r="M5" s="75">
        <v>2618</v>
      </c>
      <c r="N5" s="75">
        <v>5231</v>
      </c>
      <c r="O5" s="268">
        <v>3798</v>
      </c>
      <c r="P5" s="268"/>
      <c r="Q5" s="268"/>
      <c r="R5" s="268"/>
      <c r="S5" s="141"/>
      <c r="U5" s="141"/>
    </row>
    <row r="6" spans="2:21">
      <c r="B6" s="96" t="s">
        <v>7</v>
      </c>
      <c r="C6" s="73">
        <v>0</v>
      </c>
      <c r="D6" s="73">
        <v>0</v>
      </c>
      <c r="E6" s="73">
        <v>0</v>
      </c>
      <c r="F6" s="73">
        <v>0</v>
      </c>
      <c r="G6" s="74">
        <v>0</v>
      </c>
      <c r="H6" s="74">
        <v>0</v>
      </c>
      <c r="I6" s="74">
        <v>0</v>
      </c>
      <c r="J6" s="74">
        <v>0</v>
      </c>
      <c r="K6" s="75">
        <v>0</v>
      </c>
      <c r="L6" s="75">
        <v>0</v>
      </c>
      <c r="M6" s="75">
        <v>0</v>
      </c>
      <c r="N6" s="75">
        <v>0</v>
      </c>
      <c r="O6" s="268">
        <v>0</v>
      </c>
      <c r="P6" s="268"/>
      <c r="Q6" s="268"/>
      <c r="R6" s="268"/>
      <c r="S6" s="141"/>
      <c r="U6" s="141"/>
    </row>
    <row r="7" spans="2:21">
      <c r="B7" s="170" t="s">
        <v>8</v>
      </c>
      <c r="C7" s="77">
        <v>11760</v>
      </c>
      <c r="D7" s="77">
        <v>8777</v>
      </c>
      <c r="E7" s="77">
        <v>12982</v>
      </c>
      <c r="F7" s="77">
        <v>13395</v>
      </c>
      <c r="G7" s="78">
        <v>25259</v>
      </c>
      <c r="H7" s="78">
        <v>18389</v>
      </c>
      <c r="I7" s="78">
        <v>21609</v>
      </c>
      <c r="J7" s="78">
        <v>28356</v>
      </c>
      <c r="K7" s="79">
        <v>20232</v>
      </c>
      <c r="L7" s="79">
        <v>24848</v>
      </c>
      <c r="M7" s="79">
        <v>26765</v>
      </c>
      <c r="N7" s="79">
        <v>27594</v>
      </c>
      <c r="O7" s="296">
        <v>21341</v>
      </c>
      <c r="P7" s="296"/>
      <c r="Q7" s="296"/>
      <c r="R7" s="296"/>
      <c r="S7" s="141"/>
      <c r="U7" s="141"/>
    </row>
    <row r="8" spans="2:21">
      <c r="B8" s="138" t="s">
        <v>9</v>
      </c>
      <c r="C8" s="81">
        <f t="shared" ref="C8:F8" si="0">SUM(C5:C7)</f>
        <v>13469</v>
      </c>
      <c r="D8" s="81">
        <f t="shared" si="0"/>
        <v>9559</v>
      </c>
      <c r="E8" s="81">
        <f t="shared" si="0"/>
        <v>15603</v>
      </c>
      <c r="F8" s="81">
        <f t="shared" si="0"/>
        <v>13929</v>
      </c>
      <c r="G8" s="82">
        <f t="shared" ref="G8:N8" si="1">SUM(G5:G7)</f>
        <v>31758</v>
      </c>
      <c r="H8" s="82">
        <f t="shared" si="1"/>
        <v>25379</v>
      </c>
      <c r="I8" s="82">
        <f t="shared" si="1"/>
        <v>23475</v>
      </c>
      <c r="J8" s="82">
        <f t="shared" si="1"/>
        <v>32390</v>
      </c>
      <c r="K8" s="83">
        <f t="shared" si="1"/>
        <v>27701</v>
      </c>
      <c r="L8" s="83">
        <f t="shared" si="1"/>
        <v>30785</v>
      </c>
      <c r="M8" s="83">
        <f t="shared" si="1"/>
        <v>29383</v>
      </c>
      <c r="N8" s="83">
        <f t="shared" si="1"/>
        <v>32825</v>
      </c>
      <c r="O8" s="269">
        <f t="shared" ref="O8:R8" si="2">SUM(O5:O7)</f>
        <v>25139</v>
      </c>
      <c r="P8" s="269">
        <f t="shared" si="2"/>
        <v>0</v>
      </c>
      <c r="Q8" s="269">
        <f t="shared" si="2"/>
        <v>0</v>
      </c>
      <c r="R8" s="269">
        <f t="shared" si="2"/>
        <v>0</v>
      </c>
      <c r="S8" s="141"/>
      <c r="U8" s="141"/>
    </row>
    <row r="9" spans="2:21">
      <c r="B9" s="92"/>
      <c r="C9" s="97"/>
      <c r="D9" s="133"/>
      <c r="E9" s="145"/>
      <c r="F9" s="133"/>
      <c r="G9" s="98"/>
      <c r="H9" s="134"/>
      <c r="I9" s="98"/>
      <c r="J9" s="134"/>
      <c r="K9" s="100"/>
      <c r="L9" s="135"/>
      <c r="M9" s="100"/>
      <c r="N9" s="135"/>
      <c r="O9" s="314"/>
      <c r="P9" s="318"/>
      <c r="Q9" s="314"/>
      <c r="R9" s="318"/>
      <c r="S9" s="141"/>
      <c r="U9" s="141"/>
    </row>
    <row r="10" spans="2:21">
      <c r="B10" s="47" t="s">
        <v>10</v>
      </c>
      <c r="C10" s="73">
        <v>317</v>
      </c>
      <c r="D10" s="73">
        <v>855</v>
      </c>
      <c r="E10" s="158">
        <v>282</v>
      </c>
      <c r="F10" s="73">
        <v>195</v>
      </c>
      <c r="G10" s="117">
        <v>1284</v>
      </c>
      <c r="H10" s="74">
        <v>83</v>
      </c>
      <c r="I10" s="117">
        <v>0</v>
      </c>
      <c r="J10" s="74">
        <v>1044</v>
      </c>
      <c r="K10" s="119">
        <v>740</v>
      </c>
      <c r="L10" s="75">
        <v>592</v>
      </c>
      <c r="M10" s="119">
        <v>90</v>
      </c>
      <c r="N10" s="75">
        <v>2190</v>
      </c>
      <c r="O10" s="280">
        <v>561</v>
      </c>
      <c r="P10" s="268"/>
      <c r="Q10" s="280"/>
      <c r="R10" s="268"/>
      <c r="S10" s="142"/>
      <c r="U10" s="142"/>
    </row>
    <row r="11" spans="2:21">
      <c r="B11" s="47" t="s">
        <v>133</v>
      </c>
      <c r="C11" s="73">
        <v>2771</v>
      </c>
      <c r="D11" s="73">
        <v>3262</v>
      </c>
      <c r="E11" s="158">
        <v>5290</v>
      </c>
      <c r="F11" s="73">
        <v>4109</v>
      </c>
      <c r="G11" s="117">
        <v>4880</v>
      </c>
      <c r="H11" s="74">
        <v>5761</v>
      </c>
      <c r="I11" s="117">
        <v>5890</v>
      </c>
      <c r="J11" s="74">
        <v>4320</v>
      </c>
      <c r="K11" s="119">
        <v>2618</v>
      </c>
      <c r="L11" s="75">
        <v>5860</v>
      </c>
      <c r="M11" s="119">
        <v>4007</v>
      </c>
      <c r="N11" s="75">
        <v>4715</v>
      </c>
      <c r="O11" s="280">
        <v>4079</v>
      </c>
      <c r="P11" s="268"/>
      <c r="Q11" s="280"/>
      <c r="R11" s="268"/>
      <c r="S11" s="142"/>
      <c r="U11" s="142"/>
    </row>
    <row r="12" spans="2:21">
      <c r="B12" s="136" t="s">
        <v>12</v>
      </c>
      <c r="C12" s="81">
        <f t="shared" ref="C12:F12" si="3">C8-C10-C11</f>
        <v>10381</v>
      </c>
      <c r="D12" s="81">
        <f t="shared" si="3"/>
        <v>5442</v>
      </c>
      <c r="E12" s="184">
        <f t="shared" si="3"/>
        <v>10031</v>
      </c>
      <c r="F12" s="81">
        <f t="shared" si="3"/>
        <v>9625</v>
      </c>
      <c r="G12" s="185">
        <f t="shared" ref="G12:N12" si="4">G8-G10-G11</f>
        <v>25594</v>
      </c>
      <c r="H12" s="82">
        <f t="shared" si="4"/>
        <v>19535</v>
      </c>
      <c r="I12" s="185">
        <f t="shared" si="4"/>
        <v>17585</v>
      </c>
      <c r="J12" s="82">
        <f t="shared" si="4"/>
        <v>27026</v>
      </c>
      <c r="K12" s="186">
        <f t="shared" si="4"/>
        <v>24343</v>
      </c>
      <c r="L12" s="83">
        <f t="shared" si="4"/>
        <v>24333</v>
      </c>
      <c r="M12" s="186">
        <f t="shared" si="4"/>
        <v>25286</v>
      </c>
      <c r="N12" s="83">
        <f t="shared" si="4"/>
        <v>25920</v>
      </c>
      <c r="O12" s="312">
        <f t="shared" ref="O12:R12" si="5">O8-O10-O11</f>
        <v>20499</v>
      </c>
      <c r="P12" s="269">
        <f t="shared" si="5"/>
        <v>0</v>
      </c>
      <c r="Q12" s="312">
        <f t="shared" si="5"/>
        <v>0</v>
      </c>
      <c r="R12" s="269">
        <f t="shared" si="5"/>
        <v>0</v>
      </c>
      <c r="S12" s="142"/>
      <c r="U12" s="142"/>
    </row>
    <row r="13" spans="2:21">
      <c r="B13" s="47" t="s">
        <v>13</v>
      </c>
      <c r="C13" s="48">
        <f t="shared" ref="C13:F13" si="6">C12/C8</f>
        <v>0.77073279382285242</v>
      </c>
      <c r="D13" s="48">
        <f t="shared" si="6"/>
        <v>0.56930641280468663</v>
      </c>
      <c r="E13" s="102">
        <f t="shared" si="6"/>
        <v>0.64288918797667116</v>
      </c>
      <c r="F13" s="48">
        <f t="shared" si="6"/>
        <v>0.6910043793524302</v>
      </c>
      <c r="G13" s="49">
        <f t="shared" ref="G13:N13" si="7">G12/G8</f>
        <v>0.80590717299578063</v>
      </c>
      <c r="H13" s="50">
        <f t="shared" si="7"/>
        <v>0.76973087986130262</v>
      </c>
      <c r="I13" s="49">
        <f t="shared" si="7"/>
        <v>0.7490947816826411</v>
      </c>
      <c r="J13" s="50">
        <f t="shared" si="7"/>
        <v>0.83439333127508486</v>
      </c>
      <c r="K13" s="51">
        <f t="shared" si="7"/>
        <v>0.87877693946066926</v>
      </c>
      <c r="L13" s="52">
        <f t="shared" si="7"/>
        <v>0.79041741107682317</v>
      </c>
      <c r="M13" s="51">
        <f t="shared" si="7"/>
        <v>0.86056563318925905</v>
      </c>
      <c r="N13" s="52">
        <f t="shared" si="7"/>
        <v>0.78964204112718961</v>
      </c>
      <c r="O13" s="313">
        <f t="shared" ref="O13:R13" si="8">O12/O8</f>
        <v>0.81542623016030868</v>
      </c>
      <c r="P13" s="301" t="e">
        <f t="shared" si="8"/>
        <v>#DIV/0!</v>
      </c>
      <c r="Q13" s="313" t="e">
        <f t="shared" si="8"/>
        <v>#DIV/0!</v>
      </c>
      <c r="R13" s="301" t="e">
        <f t="shared" si="8"/>
        <v>#DIV/0!</v>
      </c>
      <c r="S13" s="142"/>
      <c r="U13" s="142"/>
    </row>
    <row r="14" spans="2:21">
      <c r="B14" s="137"/>
      <c r="C14" s="97"/>
      <c r="D14" s="97"/>
      <c r="E14" s="145"/>
      <c r="F14" s="97"/>
      <c r="G14" s="98"/>
      <c r="H14" s="99"/>
      <c r="I14" s="98"/>
      <c r="J14" s="99"/>
      <c r="K14" s="100"/>
      <c r="L14" s="101"/>
      <c r="M14" s="100"/>
      <c r="N14" s="101"/>
      <c r="O14" s="314"/>
      <c r="P14" s="315"/>
      <c r="Q14" s="314"/>
      <c r="R14" s="315"/>
      <c r="S14" s="142"/>
      <c r="U14" s="142"/>
    </row>
    <row r="15" spans="2:21">
      <c r="B15" s="47" t="s">
        <v>14</v>
      </c>
      <c r="C15" s="73">
        <v>23259</v>
      </c>
      <c r="D15" s="73">
        <v>19444</v>
      </c>
      <c r="E15" s="158">
        <v>24930</v>
      </c>
      <c r="F15" s="73">
        <v>15510</v>
      </c>
      <c r="G15" s="117">
        <v>19337</v>
      </c>
      <c r="H15" s="74">
        <v>19346</v>
      </c>
      <c r="I15" s="117">
        <v>15893</v>
      </c>
      <c r="J15" s="74">
        <v>19080</v>
      </c>
      <c r="K15" s="119">
        <v>20125</v>
      </c>
      <c r="L15" s="75">
        <v>20049</v>
      </c>
      <c r="M15" s="119">
        <v>19016</v>
      </c>
      <c r="N15" s="75">
        <v>24212</v>
      </c>
      <c r="O15" s="280">
        <v>19702</v>
      </c>
      <c r="P15" s="268"/>
      <c r="Q15" s="280"/>
      <c r="R15" s="268"/>
      <c r="S15" s="142"/>
      <c r="U15" s="142"/>
    </row>
    <row r="16" spans="2:21">
      <c r="B16" s="137"/>
      <c r="C16" s="69"/>
      <c r="D16" s="69"/>
      <c r="E16" s="156"/>
      <c r="F16" s="69"/>
      <c r="G16" s="93"/>
      <c r="H16" s="70"/>
      <c r="I16" s="93"/>
      <c r="J16" s="70"/>
      <c r="K16" s="94"/>
      <c r="L16" s="71"/>
      <c r="M16" s="94"/>
      <c r="N16" s="71"/>
      <c r="O16" s="271"/>
      <c r="P16" s="267"/>
      <c r="Q16" s="271"/>
      <c r="R16" s="267"/>
      <c r="S16" s="142"/>
      <c r="U16" s="142"/>
    </row>
    <row r="17" spans="2:21">
      <c r="B17" s="138" t="s">
        <v>15</v>
      </c>
      <c r="C17" s="81">
        <f t="shared" ref="C17:F17" si="9">C12-C15</f>
        <v>-12878</v>
      </c>
      <c r="D17" s="81">
        <f t="shared" si="9"/>
        <v>-14002</v>
      </c>
      <c r="E17" s="184">
        <f t="shared" si="9"/>
        <v>-14899</v>
      </c>
      <c r="F17" s="81">
        <f t="shared" si="9"/>
        <v>-5885</v>
      </c>
      <c r="G17" s="185">
        <f t="shared" ref="G17:N17" si="10">G12-G15</f>
        <v>6257</v>
      </c>
      <c r="H17" s="82">
        <f t="shared" si="10"/>
        <v>189</v>
      </c>
      <c r="I17" s="185">
        <f t="shared" si="10"/>
        <v>1692</v>
      </c>
      <c r="J17" s="82">
        <f t="shared" si="10"/>
        <v>7946</v>
      </c>
      <c r="K17" s="186">
        <f t="shared" si="10"/>
        <v>4218</v>
      </c>
      <c r="L17" s="83">
        <f t="shared" si="10"/>
        <v>4284</v>
      </c>
      <c r="M17" s="186">
        <f t="shared" si="10"/>
        <v>6270</v>
      </c>
      <c r="N17" s="83">
        <f t="shared" si="10"/>
        <v>1708</v>
      </c>
      <c r="O17" s="312">
        <f t="shared" ref="O17:R17" si="11">O12-O15</f>
        <v>797</v>
      </c>
      <c r="P17" s="269">
        <f t="shared" si="11"/>
        <v>0</v>
      </c>
      <c r="Q17" s="312">
        <f t="shared" si="11"/>
        <v>0</v>
      </c>
      <c r="R17" s="269">
        <f t="shared" si="11"/>
        <v>0</v>
      </c>
      <c r="S17" s="142"/>
      <c r="U17" s="142"/>
    </row>
    <row r="18" spans="2:21">
      <c r="B18" s="47" t="s">
        <v>16</v>
      </c>
      <c r="C18" s="48">
        <f t="shared" ref="C18:F18" si="12">C17/C8</f>
        <v>-0.95612146410275445</v>
      </c>
      <c r="D18" s="48">
        <f t="shared" si="12"/>
        <v>-1.4647975729678837</v>
      </c>
      <c r="E18" s="102">
        <f t="shared" si="12"/>
        <v>-0.95488047170415946</v>
      </c>
      <c r="F18" s="48">
        <f t="shared" si="12"/>
        <v>-0.42249982051834301</v>
      </c>
      <c r="G18" s="49">
        <f t="shared" ref="G18:N18" si="13">G17/G8</f>
        <v>0.19702122299892941</v>
      </c>
      <c r="H18" s="50">
        <f t="shared" si="13"/>
        <v>7.4471019346703969E-3</v>
      </c>
      <c r="I18" s="49">
        <f t="shared" si="13"/>
        <v>7.2076677316293927E-2</v>
      </c>
      <c r="J18" s="50">
        <f t="shared" si="13"/>
        <v>0.2453226304414943</v>
      </c>
      <c r="K18" s="51">
        <f t="shared" si="13"/>
        <v>0.15226887115988594</v>
      </c>
      <c r="L18" s="52">
        <f t="shared" si="13"/>
        <v>0.13915868117589736</v>
      </c>
      <c r="M18" s="51">
        <f t="shared" si="13"/>
        <v>0.21338869414287173</v>
      </c>
      <c r="N18" s="52">
        <f t="shared" si="13"/>
        <v>5.2033511043412035E-2</v>
      </c>
      <c r="O18" s="313">
        <f t="shared" ref="O18:R18" si="14">O17/O8</f>
        <v>3.1703727276343532E-2</v>
      </c>
      <c r="P18" s="301" t="e">
        <f t="shared" si="14"/>
        <v>#DIV/0!</v>
      </c>
      <c r="Q18" s="313" t="e">
        <f t="shared" si="14"/>
        <v>#DIV/0!</v>
      </c>
      <c r="R18" s="301" t="e">
        <f t="shared" si="14"/>
        <v>#DIV/0!</v>
      </c>
      <c r="S18" s="142"/>
      <c r="U18" s="142"/>
    </row>
    <row r="19" spans="2:21">
      <c r="B19" s="139"/>
      <c r="C19" s="32"/>
      <c r="D19" s="32"/>
      <c r="E19" s="146"/>
      <c r="F19" s="32"/>
      <c r="G19" s="33"/>
      <c r="H19" s="34"/>
      <c r="I19" s="33"/>
      <c r="J19" s="34"/>
      <c r="K19" s="35"/>
      <c r="L19" s="36"/>
      <c r="M19" s="35"/>
      <c r="N19" s="36"/>
      <c r="O19" s="316"/>
      <c r="P19" s="317"/>
      <c r="Q19" s="316"/>
      <c r="R19" s="317"/>
      <c r="S19" s="142"/>
      <c r="U19" s="142"/>
    </row>
    <row r="20" spans="2:21">
      <c r="B20" s="47" t="s">
        <v>17</v>
      </c>
      <c r="C20" s="120">
        <v>1519</v>
      </c>
      <c r="D20" s="120">
        <v>1412</v>
      </c>
      <c r="E20" s="159">
        <v>1276</v>
      </c>
      <c r="F20" s="120">
        <v>1275</v>
      </c>
      <c r="G20" s="121">
        <v>2263</v>
      </c>
      <c r="H20" s="122">
        <v>2641</v>
      </c>
      <c r="I20" s="121">
        <v>2535</v>
      </c>
      <c r="J20" s="122">
        <v>267</v>
      </c>
      <c r="K20" s="118">
        <v>2076</v>
      </c>
      <c r="L20" s="178">
        <v>2028</v>
      </c>
      <c r="M20" s="118">
        <v>1504</v>
      </c>
      <c r="N20" s="187">
        <v>2361</v>
      </c>
      <c r="O20" s="279">
        <v>3879</v>
      </c>
      <c r="P20" s="288"/>
      <c r="Q20" s="279"/>
      <c r="R20" s="290"/>
      <c r="S20" s="190"/>
      <c r="U20" s="190"/>
    </row>
    <row r="21" spans="2:21">
      <c r="B21" s="47" t="s">
        <v>18</v>
      </c>
      <c r="C21" s="120">
        <v>693</v>
      </c>
      <c r="D21" s="120">
        <v>590</v>
      </c>
      <c r="E21" s="120">
        <v>500</v>
      </c>
      <c r="F21" s="120">
        <v>-801</v>
      </c>
      <c r="G21" s="121">
        <v>596</v>
      </c>
      <c r="H21" s="122">
        <v>602</v>
      </c>
      <c r="I21" s="122">
        <v>563</v>
      </c>
      <c r="J21" s="122">
        <v>577</v>
      </c>
      <c r="K21" s="118">
        <v>554</v>
      </c>
      <c r="L21" s="178">
        <v>566</v>
      </c>
      <c r="M21" s="118">
        <v>582</v>
      </c>
      <c r="N21" s="187">
        <v>596</v>
      </c>
      <c r="O21" s="279">
        <v>606</v>
      </c>
      <c r="P21" s="288"/>
      <c r="Q21" s="279"/>
      <c r="R21" s="290"/>
      <c r="S21" s="190"/>
      <c r="U21" s="190"/>
    </row>
    <row r="22" spans="2:21">
      <c r="B22" s="47" t="s">
        <v>19</v>
      </c>
      <c r="C22" s="120">
        <v>0</v>
      </c>
      <c r="D22" s="120">
        <v>0</v>
      </c>
      <c r="E22" s="120">
        <v>0</v>
      </c>
      <c r="F22" s="120">
        <v>0</v>
      </c>
      <c r="G22" s="121">
        <v>0</v>
      </c>
      <c r="H22" s="122">
        <v>0</v>
      </c>
      <c r="I22" s="122">
        <v>0</v>
      </c>
      <c r="J22" s="122">
        <v>0</v>
      </c>
      <c r="K22" s="118">
        <v>0</v>
      </c>
      <c r="L22" s="178">
        <v>0</v>
      </c>
      <c r="M22" s="118">
        <v>0</v>
      </c>
      <c r="N22" s="187">
        <v>0</v>
      </c>
      <c r="O22" s="279">
        <v>0</v>
      </c>
      <c r="P22" s="288"/>
      <c r="Q22" s="279"/>
      <c r="R22" s="290"/>
      <c r="S22" s="190"/>
      <c r="U22" s="190"/>
    </row>
    <row r="23" spans="2:21">
      <c r="B23" s="140"/>
      <c r="C23" s="120"/>
      <c r="D23" s="120"/>
      <c r="E23" s="159"/>
      <c r="F23" s="120"/>
      <c r="G23" s="121"/>
      <c r="H23" s="122"/>
      <c r="I23" s="121"/>
      <c r="J23" s="122"/>
      <c r="K23" s="118"/>
      <c r="L23" s="178"/>
      <c r="M23" s="118"/>
      <c r="N23" s="187"/>
      <c r="O23" s="279"/>
      <c r="P23" s="288"/>
      <c r="Q23" s="279"/>
      <c r="R23" s="290"/>
      <c r="S23" s="190"/>
      <c r="U23" s="190"/>
    </row>
    <row r="24" spans="2:21">
      <c r="B24" s="138" t="s">
        <v>20</v>
      </c>
      <c r="C24" s="81">
        <f>C17-C20-C21-C22</f>
        <v>-15090</v>
      </c>
      <c r="D24" s="81">
        <f t="shared" ref="D24:F24" si="15">D17-D20-D21-D22</f>
        <v>-16004</v>
      </c>
      <c r="E24" s="184">
        <f t="shared" si="15"/>
        <v>-16675</v>
      </c>
      <c r="F24" s="81">
        <f t="shared" si="15"/>
        <v>-6359</v>
      </c>
      <c r="G24" s="185">
        <f>G17-G20-G21-G22</f>
        <v>3398</v>
      </c>
      <c r="H24" s="82">
        <f t="shared" ref="H24:N24" si="16">H17-H20-H21-H22</f>
        <v>-3054</v>
      </c>
      <c r="I24" s="185">
        <f t="shared" si="16"/>
        <v>-1406</v>
      </c>
      <c r="J24" s="82">
        <f t="shared" si="16"/>
        <v>7102</v>
      </c>
      <c r="K24" s="186">
        <f t="shared" si="16"/>
        <v>1588</v>
      </c>
      <c r="L24" s="83">
        <f t="shared" si="16"/>
        <v>1690</v>
      </c>
      <c r="M24" s="186">
        <f t="shared" si="16"/>
        <v>4184</v>
      </c>
      <c r="N24" s="83">
        <f t="shared" si="16"/>
        <v>-1249</v>
      </c>
      <c r="O24" s="312">
        <f t="shared" ref="O24:R24" si="17">O17-O20-O21-O22</f>
        <v>-3688</v>
      </c>
      <c r="P24" s="269">
        <f t="shared" si="17"/>
        <v>0</v>
      </c>
      <c r="Q24" s="312">
        <f t="shared" si="17"/>
        <v>0</v>
      </c>
      <c r="R24" s="269">
        <f t="shared" si="17"/>
        <v>0</v>
      </c>
      <c r="S24" s="190"/>
      <c r="U24" s="190"/>
    </row>
    <row r="25" spans="2:21">
      <c r="B25" s="47" t="s">
        <v>21</v>
      </c>
      <c r="C25" s="102">
        <f>C24/C8</f>
        <v>-1.1203504343306854</v>
      </c>
      <c r="D25" s="102">
        <f t="shared" ref="D25:F25" si="18">D24/D8</f>
        <v>-1.67423370645465</v>
      </c>
      <c r="E25" s="102">
        <f t="shared" si="18"/>
        <v>-1.0687047362686664</v>
      </c>
      <c r="F25" s="102">
        <f t="shared" si="18"/>
        <v>-0.45652954268073803</v>
      </c>
      <c r="G25" s="49">
        <f>G24/G8</f>
        <v>0.10699666225832861</v>
      </c>
      <c r="H25" s="49">
        <f t="shared" ref="H25:N25" si="19">H24/H8</f>
        <v>-0.12033571062689626</v>
      </c>
      <c r="I25" s="49">
        <f t="shared" si="19"/>
        <v>-5.989350372736954E-2</v>
      </c>
      <c r="J25" s="49">
        <f t="shared" si="19"/>
        <v>0.21926520531028096</v>
      </c>
      <c r="K25" s="51">
        <f t="shared" si="19"/>
        <v>5.7326450308653118E-2</v>
      </c>
      <c r="L25" s="51">
        <f t="shared" si="19"/>
        <v>5.4896865356504794E-2</v>
      </c>
      <c r="M25" s="51">
        <f t="shared" si="19"/>
        <v>0.14239526256679033</v>
      </c>
      <c r="N25" s="51">
        <f t="shared" si="19"/>
        <v>-3.8050266565118049E-2</v>
      </c>
      <c r="O25" s="313">
        <f t="shared" ref="O25:R25" si="20">O24/O8</f>
        <v>-0.14670432395878913</v>
      </c>
      <c r="P25" s="313" t="e">
        <f t="shared" si="20"/>
        <v>#DIV/0!</v>
      </c>
      <c r="Q25" s="313" t="e">
        <f t="shared" si="20"/>
        <v>#DIV/0!</v>
      </c>
      <c r="R25" s="313" t="e">
        <f t="shared" si="20"/>
        <v>#DIV/0!</v>
      </c>
      <c r="S25" s="142"/>
      <c r="U25" s="142"/>
    </row>
    <row r="26" spans="2:21">
      <c r="B26" s="47"/>
      <c r="C26" s="103"/>
      <c r="D26" s="103"/>
      <c r="E26" s="103"/>
      <c r="F26" s="103"/>
      <c r="G26" s="104"/>
      <c r="H26" s="104"/>
      <c r="I26" s="104"/>
      <c r="J26" s="104"/>
      <c r="K26" s="105"/>
      <c r="L26" s="105"/>
      <c r="M26" s="105"/>
      <c r="N26" s="105"/>
      <c r="O26" s="347"/>
      <c r="P26" s="347"/>
      <c r="Q26" s="347"/>
      <c r="R26" s="347"/>
      <c r="S26" s="142"/>
      <c r="U26" s="142"/>
    </row>
    <row r="27" spans="2:21" ht="33" customHeight="1">
      <c r="B27" s="364" t="s">
        <v>22</v>
      </c>
      <c r="C27" s="364"/>
      <c r="D27" s="364"/>
      <c r="E27" s="364"/>
      <c r="F27" s="364"/>
      <c r="G27" s="364"/>
      <c r="H27" s="364"/>
      <c r="I27" s="364"/>
      <c r="J27" s="364"/>
      <c r="K27" s="364"/>
      <c r="L27" s="364"/>
      <c r="M27" s="364"/>
      <c r="N27" s="364"/>
      <c r="O27" s="364"/>
      <c r="P27" s="364"/>
      <c r="Q27" s="364"/>
      <c r="R27" s="364"/>
      <c r="S27" s="364"/>
      <c r="U27" s="211"/>
    </row>
    <row r="29" spans="2:21">
      <c r="C29" s="18"/>
      <c r="D29" s="18"/>
      <c r="E29" s="18"/>
      <c r="F29" s="18"/>
      <c r="G29" s="18"/>
      <c r="H29" s="18"/>
      <c r="I29" s="18"/>
      <c r="J29" s="18"/>
      <c r="K29" s="18"/>
      <c r="L29" s="18"/>
      <c r="M29" s="18"/>
      <c r="N29" s="18"/>
      <c r="O29" s="18"/>
      <c r="P29" s="18"/>
      <c r="Q29" s="18"/>
      <c r="R29" s="18"/>
    </row>
    <row r="30" spans="2:21">
      <c r="C30" s="18"/>
      <c r="D30" s="18"/>
      <c r="E30" s="18"/>
      <c r="F30" s="18"/>
      <c r="G30" s="18"/>
      <c r="H30" s="18"/>
      <c r="I30" s="18"/>
      <c r="J30" s="18"/>
      <c r="K30" s="18"/>
      <c r="L30" s="18"/>
      <c r="M30" s="18"/>
      <c r="N30" s="18"/>
      <c r="O30" s="18"/>
      <c r="P30" s="18"/>
      <c r="Q30" s="18"/>
      <c r="R30" s="18"/>
    </row>
    <row r="31" spans="2:21">
      <c r="C31" s="18"/>
      <c r="D31" s="18"/>
      <c r="E31" s="18"/>
      <c r="F31" s="18"/>
      <c r="G31" s="18"/>
      <c r="H31" s="18"/>
      <c r="I31" s="18"/>
      <c r="J31" s="18"/>
      <c r="K31" s="18"/>
      <c r="L31" s="18"/>
      <c r="M31" s="18"/>
      <c r="N31" s="18"/>
      <c r="O31" s="18"/>
      <c r="P31" s="18"/>
      <c r="Q31" s="18"/>
      <c r="R31" s="18"/>
    </row>
    <row r="34" spans="3:18">
      <c r="C34" s="18"/>
      <c r="D34" s="18"/>
      <c r="E34" s="18"/>
      <c r="F34" s="18"/>
      <c r="G34" s="18"/>
      <c r="H34" s="18"/>
      <c r="I34" s="18"/>
      <c r="J34" s="18"/>
      <c r="K34" s="18"/>
      <c r="L34" s="18"/>
      <c r="M34" s="18"/>
      <c r="N34" s="18"/>
      <c r="O34" s="18"/>
      <c r="P34" s="18"/>
      <c r="Q34" s="18"/>
      <c r="R34" s="18"/>
    </row>
    <row r="35" spans="3:18">
      <c r="C35" s="18"/>
      <c r="D35" s="18"/>
      <c r="E35" s="18"/>
      <c r="F35" s="18"/>
      <c r="G35" s="18"/>
      <c r="H35" s="18"/>
      <c r="I35" s="18"/>
      <c r="J35" s="18"/>
      <c r="K35" s="18"/>
      <c r="L35" s="18"/>
      <c r="M35" s="18"/>
      <c r="N35" s="18"/>
      <c r="O35" s="18"/>
      <c r="P35" s="18"/>
      <c r="Q35" s="18"/>
      <c r="R35" s="18"/>
    </row>
    <row r="39" spans="3:18">
      <c r="C39" s="18"/>
      <c r="D39" s="18"/>
      <c r="E39" s="18"/>
      <c r="F39" s="18"/>
      <c r="G39" s="18"/>
      <c r="H39" s="18"/>
      <c r="I39" s="18"/>
      <c r="J39" s="18"/>
      <c r="K39" s="18"/>
      <c r="L39" s="18"/>
      <c r="M39" s="18"/>
      <c r="N39" s="18"/>
      <c r="O39" s="18"/>
      <c r="P39" s="18"/>
      <c r="Q39" s="18"/>
      <c r="R39" s="18"/>
    </row>
    <row r="44" spans="3:18">
      <c r="C44" s="18"/>
      <c r="D44" s="18"/>
      <c r="E44" s="18"/>
      <c r="F44" s="18"/>
      <c r="G44" s="18"/>
      <c r="H44" s="18"/>
      <c r="I44" s="18"/>
      <c r="J44" s="18"/>
      <c r="K44" s="18"/>
      <c r="L44" s="18"/>
      <c r="M44" s="18"/>
      <c r="N44" s="18"/>
      <c r="O44" s="18"/>
      <c r="P44" s="18"/>
      <c r="Q44" s="18"/>
      <c r="R44" s="18"/>
    </row>
    <row r="45" spans="3:18">
      <c r="C45" s="18"/>
      <c r="D45" s="18"/>
      <c r="E45" s="18"/>
      <c r="F45" s="18"/>
      <c r="G45" s="18"/>
      <c r="H45" s="18"/>
      <c r="I45" s="18"/>
      <c r="J45" s="18"/>
      <c r="K45" s="18"/>
      <c r="L45" s="18"/>
      <c r="M45" s="18"/>
      <c r="N45" s="18"/>
      <c r="O45" s="18"/>
      <c r="P45" s="18"/>
      <c r="Q45" s="18"/>
      <c r="R45" s="18"/>
    </row>
    <row r="46" spans="3:18">
      <c r="C46" s="18"/>
      <c r="D46" s="18"/>
      <c r="E46" s="18"/>
      <c r="F46" s="18"/>
      <c r="G46" s="18"/>
      <c r="H46" s="18"/>
      <c r="I46" s="18"/>
      <c r="J46" s="18"/>
      <c r="K46" s="18"/>
      <c r="L46" s="18"/>
      <c r="M46" s="18"/>
      <c r="N46" s="18"/>
      <c r="O46" s="18"/>
      <c r="P46" s="18"/>
      <c r="Q46" s="18"/>
      <c r="R46" s="18"/>
    </row>
  </sheetData>
  <mergeCells count="5">
    <mergeCell ref="G3:J3"/>
    <mergeCell ref="K3:N3"/>
    <mergeCell ref="B27:S27"/>
    <mergeCell ref="C3:F3"/>
    <mergeCell ref="O3:R3"/>
  </mergeCells>
  <pageMargins left="0.7" right="0.7" top="0.75" bottom="0.75" header="0.3" footer="0.3"/>
  <pageSetup paperSize="9" scale="57"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U30"/>
  <sheetViews>
    <sheetView view="pageBreakPreview" zoomScale="80" zoomScaleNormal="100" zoomScaleSheetLayoutView="80" workbookViewId="0">
      <selection activeCell="Q35" sqref="Q35"/>
    </sheetView>
  </sheetViews>
  <sheetFormatPr defaultRowHeight="14.5"/>
  <cols>
    <col min="1" max="1" width="2.453125" customWidth="1"/>
    <col min="2" max="2" width="24.90625" customWidth="1"/>
    <col min="3" max="18" width="10.54296875" customWidth="1"/>
    <col min="19" max="19" width="3" customWidth="1"/>
  </cols>
  <sheetData>
    <row r="1" spans="2:21" ht="15" thickBot="1"/>
    <row r="2" spans="2:21" ht="16" thickBot="1">
      <c r="B2" s="1" t="s">
        <v>110</v>
      </c>
      <c r="C2" s="11"/>
      <c r="D2" s="11"/>
      <c r="E2" s="11"/>
      <c r="F2" s="11"/>
      <c r="G2" s="11"/>
      <c r="H2" s="11"/>
      <c r="I2" s="11"/>
      <c r="J2" s="11"/>
      <c r="K2" s="11"/>
      <c r="L2" s="11"/>
      <c r="M2" s="11"/>
      <c r="N2" s="12"/>
      <c r="O2" s="218"/>
      <c r="P2" s="218"/>
      <c r="Q2" s="218"/>
      <c r="R2" s="218"/>
      <c r="S2" s="13"/>
      <c r="U2" s="13"/>
    </row>
    <row r="3" spans="2:21" ht="15" thickBot="1">
      <c r="B3" s="132"/>
      <c r="C3" s="363">
        <v>2016</v>
      </c>
      <c r="D3" s="355"/>
      <c r="E3" s="355"/>
      <c r="F3" s="356"/>
      <c r="G3" s="357">
        <v>2017</v>
      </c>
      <c r="H3" s="358"/>
      <c r="I3" s="358"/>
      <c r="J3" s="359"/>
      <c r="K3" s="360">
        <v>2018</v>
      </c>
      <c r="L3" s="361"/>
      <c r="M3" s="361"/>
      <c r="N3" s="362"/>
      <c r="O3" s="365">
        <v>2019</v>
      </c>
      <c r="P3" s="366"/>
      <c r="Q3" s="366"/>
      <c r="R3" s="367"/>
      <c r="S3" s="141"/>
      <c r="U3" s="141"/>
    </row>
    <row r="4" spans="2:21" ht="15" thickBot="1">
      <c r="B4" s="8" t="s">
        <v>1</v>
      </c>
      <c r="C4" s="147" t="s">
        <v>2</v>
      </c>
      <c r="D4" s="147" t="s">
        <v>3</v>
      </c>
      <c r="E4" s="147" t="s">
        <v>4</v>
      </c>
      <c r="F4" s="148" t="s">
        <v>5</v>
      </c>
      <c r="G4" s="64" t="s">
        <v>2</v>
      </c>
      <c r="H4" s="64" t="s">
        <v>3</v>
      </c>
      <c r="I4" s="64" t="s">
        <v>4</v>
      </c>
      <c r="J4" s="65" t="s">
        <v>5</v>
      </c>
      <c r="K4" s="66" t="s">
        <v>2</v>
      </c>
      <c r="L4" s="66" t="s">
        <v>3</v>
      </c>
      <c r="M4" s="66" t="s">
        <v>4</v>
      </c>
      <c r="N4" s="67" t="s">
        <v>5</v>
      </c>
      <c r="O4" s="265" t="s">
        <v>2</v>
      </c>
      <c r="P4" s="265" t="s">
        <v>3</v>
      </c>
      <c r="Q4" s="265" t="s">
        <v>4</v>
      </c>
      <c r="R4" s="266" t="s">
        <v>5</v>
      </c>
      <c r="S4" s="141"/>
      <c r="U4" s="141"/>
    </row>
    <row r="5" spans="2:21">
      <c r="B5" s="72" t="s">
        <v>6</v>
      </c>
      <c r="C5" s="73"/>
      <c r="D5" s="73"/>
      <c r="E5" s="73"/>
      <c r="F5" s="73"/>
      <c r="G5" s="74"/>
      <c r="H5" s="74"/>
      <c r="I5" s="74"/>
      <c r="J5" s="74"/>
      <c r="K5" s="75"/>
      <c r="L5" s="75"/>
      <c r="M5" s="75"/>
      <c r="N5" s="75"/>
      <c r="O5" s="268"/>
      <c r="P5" s="268"/>
      <c r="Q5" s="268"/>
      <c r="R5" s="268"/>
      <c r="S5" s="141"/>
      <c r="U5" s="141"/>
    </row>
    <row r="6" spans="2:21">
      <c r="B6" s="96" t="s">
        <v>7</v>
      </c>
      <c r="C6" s="73"/>
      <c r="D6" s="73"/>
      <c r="E6" s="73"/>
      <c r="F6" s="73"/>
      <c r="G6" s="74"/>
      <c r="H6" s="74"/>
      <c r="I6" s="74"/>
      <c r="J6" s="74"/>
      <c r="K6" s="75"/>
      <c r="L6" s="75"/>
      <c r="M6" s="75"/>
      <c r="N6" s="75"/>
      <c r="O6" s="268"/>
      <c r="P6" s="268"/>
      <c r="Q6" s="268"/>
      <c r="R6" s="268"/>
      <c r="S6" s="141"/>
      <c r="U6" s="141"/>
    </row>
    <row r="7" spans="2:21">
      <c r="B7" s="170" t="s">
        <v>8</v>
      </c>
      <c r="C7" s="77"/>
      <c r="D7" s="77"/>
      <c r="E7" s="77"/>
      <c r="F7" s="77"/>
      <c r="G7" s="78"/>
      <c r="H7" s="78"/>
      <c r="I7" s="78"/>
      <c r="J7" s="78"/>
      <c r="K7" s="79"/>
      <c r="L7" s="79"/>
      <c r="M7" s="79"/>
      <c r="N7" s="79"/>
      <c r="O7" s="296"/>
      <c r="P7" s="296"/>
      <c r="Q7" s="296"/>
      <c r="R7" s="296"/>
      <c r="S7" s="141"/>
      <c r="U7" s="141"/>
    </row>
    <row r="8" spans="2:21">
      <c r="B8" s="138" t="s">
        <v>9</v>
      </c>
      <c r="C8" s="81">
        <f t="shared" ref="C8:F8" si="0">SUM(C5:C7)</f>
        <v>0</v>
      </c>
      <c r="D8" s="81">
        <f t="shared" si="0"/>
        <v>0</v>
      </c>
      <c r="E8" s="81">
        <f t="shared" si="0"/>
        <v>0</v>
      </c>
      <c r="F8" s="81">
        <f t="shared" si="0"/>
        <v>0</v>
      </c>
      <c r="G8" s="82">
        <f t="shared" ref="G8:N8" si="1">SUM(G5:G7)</f>
        <v>0</v>
      </c>
      <c r="H8" s="82">
        <f t="shared" si="1"/>
        <v>0</v>
      </c>
      <c r="I8" s="82">
        <f t="shared" si="1"/>
        <v>0</v>
      </c>
      <c r="J8" s="82">
        <f t="shared" si="1"/>
        <v>0</v>
      </c>
      <c r="K8" s="83">
        <f t="shared" si="1"/>
        <v>0</v>
      </c>
      <c r="L8" s="83">
        <f t="shared" si="1"/>
        <v>0</v>
      </c>
      <c r="M8" s="83">
        <f t="shared" si="1"/>
        <v>0</v>
      </c>
      <c r="N8" s="83">
        <f t="shared" si="1"/>
        <v>0</v>
      </c>
      <c r="O8" s="269">
        <f t="shared" ref="O8:R8" si="2">SUM(O5:O7)</f>
        <v>0</v>
      </c>
      <c r="P8" s="269">
        <f t="shared" si="2"/>
        <v>0</v>
      </c>
      <c r="Q8" s="269">
        <f t="shared" si="2"/>
        <v>0</v>
      </c>
      <c r="R8" s="269">
        <f t="shared" si="2"/>
        <v>0</v>
      </c>
      <c r="S8" s="141"/>
      <c r="U8" s="141"/>
    </row>
    <row r="9" spans="2:21">
      <c r="B9" s="92"/>
      <c r="C9" s="97"/>
      <c r="D9" s="133"/>
      <c r="E9" s="145"/>
      <c r="F9" s="133"/>
      <c r="G9" s="98"/>
      <c r="H9" s="134"/>
      <c r="I9" s="98"/>
      <c r="J9" s="134"/>
      <c r="K9" s="100"/>
      <c r="L9" s="135"/>
      <c r="M9" s="100"/>
      <c r="N9" s="135"/>
      <c r="O9" s="314"/>
      <c r="P9" s="318"/>
      <c r="Q9" s="314"/>
      <c r="R9" s="318"/>
      <c r="S9" s="141"/>
      <c r="U9" s="141"/>
    </row>
    <row r="10" spans="2:21">
      <c r="B10" s="47" t="s">
        <v>10</v>
      </c>
      <c r="C10" s="73"/>
      <c r="D10" s="73"/>
      <c r="E10" s="158"/>
      <c r="F10" s="73"/>
      <c r="G10" s="117"/>
      <c r="H10" s="74"/>
      <c r="I10" s="117"/>
      <c r="J10" s="74"/>
      <c r="K10" s="119"/>
      <c r="L10" s="75"/>
      <c r="M10" s="119"/>
      <c r="N10" s="75"/>
      <c r="O10" s="280"/>
      <c r="P10" s="268"/>
      <c r="Q10" s="280"/>
      <c r="R10" s="268"/>
      <c r="S10" s="142"/>
      <c r="U10" s="142"/>
    </row>
    <row r="11" spans="2:21">
      <c r="B11" s="47" t="s">
        <v>133</v>
      </c>
      <c r="C11" s="73"/>
      <c r="D11" s="73"/>
      <c r="E11" s="158"/>
      <c r="F11" s="73"/>
      <c r="G11" s="117"/>
      <c r="H11" s="74"/>
      <c r="I11" s="117"/>
      <c r="J11" s="74"/>
      <c r="K11" s="119"/>
      <c r="L11" s="75"/>
      <c r="M11" s="119"/>
      <c r="N11" s="75"/>
      <c r="O11" s="280"/>
      <c r="P11" s="268"/>
      <c r="Q11" s="280"/>
      <c r="R11" s="268"/>
      <c r="S11" s="142"/>
      <c r="U11" s="142"/>
    </row>
    <row r="12" spans="2:21">
      <c r="B12" s="136" t="s">
        <v>12</v>
      </c>
      <c r="C12" s="81">
        <f t="shared" ref="C12:N12" si="3">C8-C10-C11</f>
        <v>0</v>
      </c>
      <c r="D12" s="81">
        <f t="shared" si="3"/>
        <v>0</v>
      </c>
      <c r="E12" s="184">
        <f t="shared" si="3"/>
        <v>0</v>
      </c>
      <c r="F12" s="81">
        <f t="shared" si="3"/>
        <v>0</v>
      </c>
      <c r="G12" s="185">
        <f t="shared" si="3"/>
        <v>0</v>
      </c>
      <c r="H12" s="82">
        <f t="shared" si="3"/>
        <v>0</v>
      </c>
      <c r="I12" s="185">
        <f t="shared" si="3"/>
        <v>0</v>
      </c>
      <c r="J12" s="82">
        <f t="shared" si="3"/>
        <v>0</v>
      </c>
      <c r="K12" s="186">
        <f t="shared" si="3"/>
        <v>0</v>
      </c>
      <c r="L12" s="83">
        <f t="shared" si="3"/>
        <v>0</v>
      </c>
      <c r="M12" s="186">
        <f t="shared" si="3"/>
        <v>0</v>
      </c>
      <c r="N12" s="83">
        <f t="shared" si="3"/>
        <v>0</v>
      </c>
      <c r="O12" s="312">
        <f t="shared" ref="O12:R12" si="4">O8-O10-O11</f>
        <v>0</v>
      </c>
      <c r="P12" s="269">
        <f t="shared" si="4"/>
        <v>0</v>
      </c>
      <c r="Q12" s="312">
        <f t="shared" si="4"/>
        <v>0</v>
      </c>
      <c r="R12" s="269">
        <f t="shared" si="4"/>
        <v>0</v>
      </c>
      <c r="S12" s="142"/>
      <c r="U12" s="142"/>
    </row>
    <row r="13" spans="2:21">
      <c r="B13" s="47" t="s">
        <v>13</v>
      </c>
      <c r="C13" s="48" t="e">
        <f t="shared" ref="C13:N13" si="5">C12/C8</f>
        <v>#DIV/0!</v>
      </c>
      <c r="D13" s="48" t="e">
        <f t="shared" si="5"/>
        <v>#DIV/0!</v>
      </c>
      <c r="E13" s="102" t="e">
        <f t="shared" si="5"/>
        <v>#DIV/0!</v>
      </c>
      <c r="F13" s="48" t="e">
        <f t="shared" si="5"/>
        <v>#DIV/0!</v>
      </c>
      <c r="G13" s="49" t="e">
        <f t="shared" si="5"/>
        <v>#DIV/0!</v>
      </c>
      <c r="H13" s="50" t="e">
        <f t="shared" si="5"/>
        <v>#DIV/0!</v>
      </c>
      <c r="I13" s="49" t="e">
        <f t="shared" si="5"/>
        <v>#DIV/0!</v>
      </c>
      <c r="J13" s="50" t="e">
        <f t="shared" si="5"/>
        <v>#DIV/0!</v>
      </c>
      <c r="K13" s="51" t="e">
        <f t="shared" si="5"/>
        <v>#DIV/0!</v>
      </c>
      <c r="L13" s="52" t="e">
        <f t="shared" si="5"/>
        <v>#DIV/0!</v>
      </c>
      <c r="M13" s="51" t="e">
        <f t="shared" si="5"/>
        <v>#DIV/0!</v>
      </c>
      <c r="N13" s="52" t="e">
        <f t="shared" si="5"/>
        <v>#DIV/0!</v>
      </c>
      <c r="O13" s="313" t="e">
        <f t="shared" ref="O13:R13" si="6">O12/O8</f>
        <v>#DIV/0!</v>
      </c>
      <c r="P13" s="301" t="e">
        <f t="shared" si="6"/>
        <v>#DIV/0!</v>
      </c>
      <c r="Q13" s="313" t="e">
        <f t="shared" si="6"/>
        <v>#DIV/0!</v>
      </c>
      <c r="R13" s="301" t="e">
        <f t="shared" si="6"/>
        <v>#DIV/0!</v>
      </c>
      <c r="S13" s="142"/>
      <c r="U13" s="142"/>
    </row>
    <row r="14" spans="2:21">
      <c r="B14" s="137"/>
      <c r="C14" s="97"/>
      <c r="D14" s="97"/>
      <c r="E14" s="145"/>
      <c r="F14" s="97"/>
      <c r="G14" s="98"/>
      <c r="H14" s="99"/>
      <c r="I14" s="98"/>
      <c r="J14" s="99"/>
      <c r="K14" s="100"/>
      <c r="L14" s="101"/>
      <c r="M14" s="100"/>
      <c r="N14" s="101"/>
      <c r="O14" s="314"/>
      <c r="P14" s="315"/>
      <c r="Q14" s="314"/>
      <c r="R14" s="315"/>
      <c r="S14" s="142"/>
      <c r="U14" s="142"/>
    </row>
    <row r="15" spans="2:21">
      <c r="B15" s="47" t="s">
        <v>14</v>
      </c>
      <c r="C15" s="73">
        <v>5245.7881506000122</v>
      </c>
      <c r="D15" s="73">
        <v>5250.1516703000234</v>
      </c>
      <c r="E15" s="158">
        <v>5955.0012618999899</v>
      </c>
      <c r="F15" s="73">
        <v>4317.9193220673769</v>
      </c>
      <c r="G15" s="117">
        <v>14483</v>
      </c>
      <c r="H15" s="74">
        <v>7622</v>
      </c>
      <c r="I15" s="117">
        <v>7458</v>
      </c>
      <c r="J15" s="74">
        <v>9170</v>
      </c>
      <c r="K15" s="119">
        <v>11356</v>
      </c>
      <c r="L15" s="75">
        <v>5064</v>
      </c>
      <c r="M15" s="119">
        <v>10239</v>
      </c>
      <c r="N15" s="75">
        <v>10823</v>
      </c>
      <c r="O15" s="280">
        <v>10763</v>
      </c>
      <c r="P15" s="268"/>
      <c r="Q15" s="280"/>
      <c r="R15" s="268"/>
      <c r="S15" s="142"/>
      <c r="U15" s="142"/>
    </row>
    <row r="16" spans="2:21">
      <c r="B16" s="137"/>
      <c r="C16" s="69"/>
      <c r="D16" s="69"/>
      <c r="E16" s="156"/>
      <c r="F16" s="69"/>
      <c r="G16" s="93"/>
      <c r="H16" s="70"/>
      <c r="I16" s="93"/>
      <c r="J16" s="70"/>
      <c r="K16" s="94"/>
      <c r="L16" s="71"/>
      <c r="M16" s="94"/>
      <c r="N16" s="71"/>
      <c r="O16" s="271"/>
      <c r="P16" s="267"/>
      <c r="Q16" s="271"/>
      <c r="R16" s="267"/>
      <c r="S16" s="142"/>
      <c r="U16" s="142"/>
    </row>
    <row r="17" spans="2:21">
      <c r="B17" s="138" t="s">
        <v>15</v>
      </c>
      <c r="C17" s="81">
        <f t="shared" ref="C17:N17" si="7">C12-C15</f>
        <v>-5245.7881506000122</v>
      </c>
      <c r="D17" s="81">
        <f t="shared" si="7"/>
        <v>-5250.1516703000234</v>
      </c>
      <c r="E17" s="184">
        <f t="shared" si="7"/>
        <v>-5955.0012618999899</v>
      </c>
      <c r="F17" s="81">
        <f t="shared" si="7"/>
        <v>-4317.9193220673769</v>
      </c>
      <c r="G17" s="185">
        <f t="shared" si="7"/>
        <v>-14483</v>
      </c>
      <c r="H17" s="82">
        <f t="shared" si="7"/>
        <v>-7622</v>
      </c>
      <c r="I17" s="185">
        <f t="shared" si="7"/>
        <v>-7458</v>
      </c>
      <c r="J17" s="82">
        <f t="shared" si="7"/>
        <v>-9170</v>
      </c>
      <c r="K17" s="186">
        <f t="shared" si="7"/>
        <v>-11356</v>
      </c>
      <c r="L17" s="83">
        <f t="shared" si="7"/>
        <v>-5064</v>
      </c>
      <c r="M17" s="186">
        <f t="shared" si="7"/>
        <v>-10239</v>
      </c>
      <c r="N17" s="83">
        <f t="shared" si="7"/>
        <v>-10823</v>
      </c>
      <c r="O17" s="312">
        <f t="shared" ref="O17:R17" si="8">O12-O15</f>
        <v>-10763</v>
      </c>
      <c r="P17" s="269">
        <f t="shared" si="8"/>
        <v>0</v>
      </c>
      <c r="Q17" s="312">
        <f t="shared" si="8"/>
        <v>0</v>
      </c>
      <c r="R17" s="269">
        <f t="shared" si="8"/>
        <v>0</v>
      </c>
      <c r="S17" s="142"/>
      <c r="U17" s="142"/>
    </row>
    <row r="18" spans="2:21">
      <c r="B18" s="47" t="s">
        <v>16</v>
      </c>
      <c r="C18" s="48" t="e">
        <f t="shared" ref="C18:N18" si="9">C17/C8</f>
        <v>#DIV/0!</v>
      </c>
      <c r="D18" s="48" t="e">
        <f t="shared" si="9"/>
        <v>#DIV/0!</v>
      </c>
      <c r="E18" s="102" t="e">
        <f t="shared" si="9"/>
        <v>#DIV/0!</v>
      </c>
      <c r="F18" s="48" t="e">
        <f t="shared" si="9"/>
        <v>#DIV/0!</v>
      </c>
      <c r="G18" s="49" t="e">
        <f t="shared" si="9"/>
        <v>#DIV/0!</v>
      </c>
      <c r="H18" s="50" t="e">
        <f t="shared" si="9"/>
        <v>#DIV/0!</v>
      </c>
      <c r="I18" s="49" t="e">
        <f t="shared" si="9"/>
        <v>#DIV/0!</v>
      </c>
      <c r="J18" s="50" t="e">
        <f t="shared" si="9"/>
        <v>#DIV/0!</v>
      </c>
      <c r="K18" s="51" t="e">
        <f t="shared" si="9"/>
        <v>#DIV/0!</v>
      </c>
      <c r="L18" s="52" t="e">
        <f t="shared" si="9"/>
        <v>#DIV/0!</v>
      </c>
      <c r="M18" s="51" t="e">
        <f t="shared" si="9"/>
        <v>#DIV/0!</v>
      </c>
      <c r="N18" s="52" t="e">
        <f t="shared" si="9"/>
        <v>#DIV/0!</v>
      </c>
      <c r="O18" s="313" t="e">
        <f t="shared" ref="O18:R18" si="10">O17/O8</f>
        <v>#DIV/0!</v>
      </c>
      <c r="P18" s="301" t="e">
        <f t="shared" si="10"/>
        <v>#DIV/0!</v>
      </c>
      <c r="Q18" s="313" t="e">
        <f t="shared" si="10"/>
        <v>#DIV/0!</v>
      </c>
      <c r="R18" s="301" t="e">
        <f t="shared" si="10"/>
        <v>#DIV/0!</v>
      </c>
      <c r="S18" s="142"/>
      <c r="U18" s="142"/>
    </row>
    <row r="19" spans="2:21">
      <c r="B19" s="139"/>
      <c r="C19" s="32"/>
      <c r="D19" s="32"/>
      <c r="E19" s="146"/>
      <c r="F19" s="32"/>
      <c r="G19" s="33"/>
      <c r="H19" s="34"/>
      <c r="I19" s="33"/>
      <c r="J19" s="34"/>
      <c r="K19" s="35"/>
      <c r="L19" s="36"/>
      <c r="M19" s="35"/>
      <c r="N19" s="36"/>
      <c r="O19" s="316"/>
      <c r="P19" s="317"/>
      <c r="Q19" s="316"/>
      <c r="R19" s="317"/>
      <c r="S19" s="142"/>
      <c r="U19" s="142"/>
    </row>
    <row r="20" spans="2:21">
      <c r="B20" s="47" t="s">
        <v>17</v>
      </c>
      <c r="C20" s="120"/>
      <c r="D20" s="120"/>
      <c r="E20" s="159"/>
      <c r="F20" s="120"/>
      <c r="G20" s="121"/>
      <c r="H20" s="122"/>
      <c r="I20" s="121"/>
      <c r="J20" s="122"/>
      <c r="K20" s="118"/>
      <c r="L20" s="178"/>
      <c r="M20" s="118"/>
      <c r="N20" s="187"/>
      <c r="O20" s="279"/>
      <c r="P20" s="288"/>
      <c r="Q20" s="279"/>
      <c r="R20" s="290"/>
      <c r="S20" s="190"/>
      <c r="U20" s="190"/>
    </row>
    <row r="21" spans="2:21">
      <c r="B21" s="47" t="s">
        <v>18</v>
      </c>
      <c r="C21" s="120"/>
      <c r="D21" s="120"/>
      <c r="E21" s="120"/>
      <c r="F21" s="120"/>
      <c r="G21" s="121"/>
      <c r="H21" s="122"/>
      <c r="I21" s="122"/>
      <c r="J21" s="122"/>
      <c r="K21" s="118"/>
      <c r="L21" s="178"/>
      <c r="M21" s="118"/>
      <c r="N21" s="187"/>
      <c r="O21" s="279"/>
      <c r="P21" s="288"/>
      <c r="Q21" s="279"/>
      <c r="R21" s="290"/>
      <c r="S21" s="190"/>
      <c r="U21" s="190"/>
    </row>
    <row r="22" spans="2:21">
      <c r="B22" s="47" t="s">
        <v>19</v>
      </c>
      <c r="C22" s="120"/>
      <c r="D22" s="120"/>
      <c r="E22" s="120"/>
      <c r="F22" s="120"/>
      <c r="G22" s="121"/>
      <c r="H22" s="122"/>
      <c r="I22" s="122"/>
      <c r="J22" s="122"/>
      <c r="K22" s="118"/>
      <c r="L22" s="178"/>
      <c r="M22" s="118"/>
      <c r="N22" s="187"/>
      <c r="O22" s="279"/>
      <c r="P22" s="288"/>
      <c r="Q22" s="279"/>
      <c r="R22" s="290"/>
      <c r="S22" s="190"/>
      <c r="U22" s="190"/>
    </row>
    <row r="23" spans="2:21">
      <c r="B23" s="140"/>
      <c r="C23" s="120"/>
      <c r="D23" s="120"/>
      <c r="E23" s="159"/>
      <c r="F23" s="120"/>
      <c r="G23" s="121"/>
      <c r="H23" s="122"/>
      <c r="I23" s="121"/>
      <c r="J23" s="122"/>
      <c r="K23" s="118"/>
      <c r="L23" s="178"/>
      <c r="M23" s="118"/>
      <c r="N23" s="187"/>
      <c r="O23" s="279"/>
      <c r="P23" s="288"/>
      <c r="Q23" s="279"/>
      <c r="R23" s="290"/>
      <c r="S23" s="190"/>
      <c r="U23" s="190"/>
    </row>
    <row r="24" spans="2:21">
      <c r="B24" s="138" t="s">
        <v>20</v>
      </c>
      <c r="C24" s="81">
        <f>C17-C20-C21-C22</f>
        <v>-5245.7881506000122</v>
      </c>
      <c r="D24" s="81">
        <f t="shared" ref="D24:F24" si="11">D17-D20-D21-D22</f>
        <v>-5250.1516703000234</v>
      </c>
      <c r="E24" s="184">
        <f t="shared" si="11"/>
        <v>-5955.0012618999899</v>
      </c>
      <c r="F24" s="81">
        <f t="shared" si="11"/>
        <v>-4317.9193220673769</v>
      </c>
      <c r="G24" s="185">
        <f>G17-G20-G21-G22</f>
        <v>-14483</v>
      </c>
      <c r="H24" s="82">
        <f t="shared" ref="H24:N24" si="12">H17-H20-H21-H22</f>
        <v>-7622</v>
      </c>
      <c r="I24" s="185">
        <f t="shared" si="12"/>
        <v>-7458</v>
      </c>
      <c r="J24" s="82">
        <f t="shared" si="12"/>
        <v>-9170</v>
      </c>
      <c r="K24" s="186">
        <f t="shared" si="12"/>
        <v>-11356</v>
      </c>
      <c r="L24" s="83">
        <f t="shared" si="12"/>
        <v>-5064</v>
      </c>
      <c r="M24" s="186">
        <f t="shared" si="12"/>
        <v>-10239</v>
      </c>
      <c r="N24" s="83">
        <f t="shared" si="12"/>
        <v>-10823</v>
      </c>
      <c r="O24" s="312">
        <f t="shared" ref="O24:R24" si="13">O17-O20-O21-O22</f>
        <v>-10763</v>
      </c>
      <c r="P24" s="269">
        <f t="shared" si="13"/>
        <v>0</v>
      </c>
      <c r="Q24" s="312">
        <f t="shared" si="13"/>
        <v>0</v>
      </c>
      <c r="R24" s="269">
        <f t="shared" si="13"/>
        <v>0</v>
      </c>
      <c r="S24" s="190"/>
      <c r="U24" s="190"/>
    </row>
    <row r="25" spans="2:21">
      <c r="B25" s="47" t="s">
        <v>21</v>
      </c>
      <c r="C25" s="102" t="e">
        <f>C24/C8</f>
        <v>#DIV/0!</v>
      </c>
      <c r="D25" s="102" t="e">
        <f t="shared" ref="D25:F25" si="14">D24/D8</f>
        <v>#DIV/0!</v>
      </c>
      <c r="E25" s="102" t="e">
        <f t="shared" si="14"/>
        <v>#DIV/0!</v>
      </c>
      <c r="F25" s="102" t="e">
        <f t="shared" si="14"/>
        <v>#DIV/0!</v>
      </c>
      <c r="G25" s="49" t="e">
        <f>G24/G8</f>
        <v>#DIV/0!</v>
      </c>
      <c r="H25" s="49" t="e">
        <f t="shared" ref="H25:N25" si="15">H24/H8</f>
        <v>#DIV/0!</v>
      </c>
      <c r="I25" s="49" t="e">
        <f t="shared" si="15"/>
        <v>#DIV/0!</v>
      </c>
      <c r="J25" s="49" t="e">
        <f t="shared" si="15"/>
        <v>#DIV/0!</v>
      </c>
      <c r="K25" s="51" t="e">
        <f t="shared" si="15"/>
        <v>#DIV/0!</v>
      </c>
      <c r="L25" s="51" t="e">
        <f t="shared" si="15"/>
        <v>#DIV/0!</v>
      </c>
      <c r="M25" s="51" t="e">
        <f t="shared" si="15"/>
        <v>#DIV/0!</v>
      </c>
      <c r="N25" s="51" t="e">
        <f t="shared" si="15"/>
        <v>#DIV/0!</v>
      </c>
      <c r="O25" s="313" t="e">
        <f t="shared" ref="O25:R25" si="16">O24/O8</f>
        <v>#DIV/0!</v>
      </c>
      <c r="P25" s="313" t="e">
        <f t="shared" si="16"/>
        <v>#DIV/0!</v>
      </c>
      <c r="Q25" s="313" t="e">
        <f t="shared" si="16"/>
        <v>#DIV/0!</v>
      </c>
      <c r="R25" s="313" t="e">
        <f t="shared" si="16"/>
        <v>#DIV/0!</v>
      </c>
      <c r="S25" s="142"/>
      <c r="U25" s="142"/>
    </row>
    <row r="26" spans="2:21">
      <c r="B26" s="47"/>
      <c r="C26" s="103"/>
      <c r="D26" s="103"/>
      <c r="E26" s="103"/>
      <c r="F26" s="103"/>
      <c r="G26" s="104"/>
      <c r="H26" s="104"/>
      <c r="I26" s="104"/>
      <c r="J26" s="104"/>
      <c r="K26" s="105"/>
      <c r="L26" s="105"/>
      <c r="M26" s="105"/>
      <c r="N26" s="105"/>
      <c r="O26" s="347"/>
      <c r="P26" s="347"/>
      <c r="Q26" s="347"/>
      <c r="R26" s="347"/>
      <c r="S26" s="142"/>
      <c r="U26" s="142"/>
    </row>
    <row r="27" spans="2:21" ht="33" customHeight="1">
      <c r="B27" s="364" t="s">
        <v>22</v>
      </c>
      <c r="C27" s="364"/>
      <c r="D27" s="364"/>
      <c r="E27" s="364"/>
      <c r="F27" s="364"/>
      <c r="G27" s="364"/>
      <c r="H27" s="364"/>
      <c r="I27" s="364"/>
      <c r="J27" s="364"/>
      <c r="K27" s="364"/>
      <c r="L27" s="364"/>
      <c r="M27" s="364"/>
      <c r="N27" s="364"/>
      <c r="O27" s="364"/>
      <c r="P27" s="364"/>
      <c r="Q27" s="364"/>
      <c r="R27" s="364"/>
      <c r="S27" s="364"/>
      <c r="U27" s="212"/>
    </row>
    <row r="29" spans="2:21">
      <c r="H29" s="18"/>
    </row>
    <row r="30" spans="2:21">
      <c r="I30" s="18"/>
    </row>
  </sheetData>
  <mergeCells count="5">
    <mergeCell ref="C3:F3"/>
    <mergeCell ref="G3:J3"/>
    <mergeCell ref="K3:N3"/>
    <mergeCell ref="B27:S27"/>
    <mergeCell ref="O3:R3"/>
  </mergeCells>
  <pageMargins left="0.7" right="0.7" top="0.75" bottom="0.75" header="0.3" footer="0.3"/>
  <pageSetup paperSize="9" scale="57"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NumberChecks</vt:lpstr>
      <vt:lpstr>Sheet4</vt:lpstr>
      <vt:lpstr>Tolling</vt:lpstr>
      <vt:lpstr>Parking</vt:lpstr>
      <vt:lpstr>Infomobility</vt:lpstr>
      <vt:lpstr>Urban</vt:lpstr>
      <vt:lpstr>Inter-Urban</vt:lpstr>
      <vt:lpstr>Global functions</vt:lpstr>
      <vt:lpstr>Sheet5</vt:lpstr>
      <vt:lpstr>P &amp; L</vt:lpstr>
      <vt:lpstr>Balance</vt:lpstr>
      <vt:lpstr>CashFlow</vt:lpstr>
      <vt:lpstr>Financial items</vt:lpstr>
      <vt:lpstr>Reclassification</vt:lpstr>
      <vt:lpstr>Balance!Print_Area</vt:lpstr>
      <vt:lpstr>CashFlow!Print_Area</vt:lpstr>
      <vt:lpstr>'Financial items'!Print_Area</vt:lpstr>
      <vt:lpstr>'Global functions'!Print_Area</vt:lpstr>
      <vt:lpstr>Infomobility!Print_Area</vt:lpstr>
      <vt:lpstr>'Inter-Urban'!Print_Area</vt:lpstr>
      <vt:lpstr>NumberChecks!Print_Area</vt:lpstr>
      <vt:lpstr>'P &amp; L'!Print_Area</vt:lpstr>
      <vt:lpstr>Parking!Print_Area</vt:lpstr>
      <vt:lpstr>Reclassification!Print_Area</vt:lpstr>
      <vt:lpstr>Tolling!Print_Area</vt:lpstr>
      <vt:lpstr>Urban!Print_Area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Bjorn Kleven</dc:creator>
  <cp:lastModifiedBy>Tor Eirik Knutsen</cp:lastModifiedBy>
  <cp:lastPrinted>2018-07-11T10:13:25Z</cp:lastPrinted>
  <dcterms:created xsi:type="dcterms:W3CDTF">2018-04-24T12:10:08Z</dcterms:created>
  <dcterms:modified xsi:type="dcterms:W3CDTF">2019-05-06T21:21:07Z</dcterms:modified>
</cp:coreProperties>
</file>