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Egnyte\Private\tork\Privat\"/>
    </mc:Choice>
  </mc:AlternateContent>
  <bookViews>
    <workbookView xWindow="0" yWindow="0" windowWidth="28800" windowHeight="14010" activeTab="5"/>
  </bookViews>
  <sheets>
    <sheet name="Tolling" sheetId="1" r:id="rId1"/>
    <sheet name="Parking" sheetId="2" r:id="rId2"/>
    <sheet name="Infomobility" sheetId="3" r:id="rId3"/>
    <sheet name="Urban" sheetId="4" r:id="rId4"/>
    <sheet name="Inter-Urban" sheetId="5" r:id="rId5"/>
    <sheet name="P &amp; L" sheetId="7" r:id="rId6"/>
    <sheet name="Balance" sheetId="9" r:id="rId7"/>
    <sheet name="CashFlow" sheetId="10" r:id="rId8"/>
    <sheet name="Reclassification" sheetId="12" r:id="rId9"/>
  </sheets>
  <definedNames>
    <definedName name="_xlnm.Print_Area" localSheetId="6">Balance!$A$1:$O$53</definedName>
    <definedName name="_xlnm.Print_Area" localSheetId="7">CashFlow!$B$2:$O$40</definedName>
    <definedName name="_xlnm.Print_Area" localSheetId="2">Infomobility!$B$2:$O$27</definedName>
    <definedName name="_xlnm.Print_Area" localSheetId="4">'Inter-Urban'!$B$2:$O$27</definedName>
    <definedName name="_xlnm.Print_Area" localSheetId="5">'P &amp; L'!$B$2:$O$44</definedName>
    <definedName name="_xlnm.Print_Area" localSheetId="1">Parking!$B$2:$O$27</definedName>
    <definedName name="_xlnm.Print_Area" localSheetId="8">Reclassification!$B$2:$O$16</definedName>
    <definedName name="_xlnm.Print_Area" localSheetId="0">Tolling!$B$2:$O$27</definedName>
    <definedName name="_xlnm.Print_Area" localSheetId="3">Urban!$B$2:$O$27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C33" i="7" l="1"/>
  <c r="F7" i="12" l="1"/>
  <c r="F9" i="12" s="1"/>
  <c r="E7" i="12"/>
  <c r="D7" i="12"/>
  <c r="C7" i="12"/>
  <c r="C9" i="12" s="1"/>
  <c r="F6" i="12"/>
  <c r="F11" i="12" s="1"/>
  <c r="E6" i="12"/>
  <c r="E11" i="12" s="1"/>
  <c r="D6" i="12"/>
  <c r="C6" i="12"/>
  <c r="C11" i="12" s="1"/>
  <c r="D9" i="12"/>
  <c r="E9" i="12"/>
  <c r="D11" i="12"/>
  <c r="C13" i="12" l="1"/>
  <c r="E13" i="12"/>
  <c r="F13" i="12"/>
  <c r="D13" i="12"/>
  <c r="D32" i="10" l="1"/>
  <c r="E32" i="10"/>
  <c r="D26" i="10"/>
  <c r="E26" i="10"/>
  <c r="C26" i="10"/>
  <c r="D20" i="10"/>
  <c r="D34" i="10" s="1"/>
  <c r="E20" i="10"/>
  <c r="E34" i="10" s="1"/>
  <c r="F8" i="5" l="1"/>
  <c r="F12" i="5" s="1"/>
  <c r="E8" i="5"/>
  <c r="E12" i="5" s="1"/>
  <c r="D8" i="5"/>
  <c r="D12" i="5" s="1"/>
  <c r="C8" i="5"/>
  <c r="C12" i="5" s="1"/>
  <c r="F8" i="3"/>
  <c r="F12" i="3" s="1"/>
  <c r="E8" i="3"/>
  <c r="E12" i="3" s="1"/>
  <c r="D8" i="3"/>
  <c r="D12" i="3" s="1"/>
  <c r="C8" i="3"/>
  <c r="C12" i="3" s="1"/>
  <c r="C17" i="5" l="1"/>
  <c r="C18" i="5" s="1"/>
  <c r="C13" i="5"/>
  <c r="D17" i="5"/>
  <c r="D18" i="5" s="1"/>
  <c r="D13" i="5"/>
  <c r="E17" i="5"/>
  <c r="E18" i="5" s="1"/>
  <c r="E13" i="5"/>
  <c r="F17" i="5"/>
  <c r="F18" i="5" s="1"/>
  <c r="F13" i="5"/>
  <c r="C17" i="3"/>
  <c r="C13" i="3"/>
  <c r="D17" i="3"/>
  <c r="D13" i="3"/>
  <c r="E17" i="3"/>
  <c r="E13" i="3"/>
  <c r="F17" i="3"/>
  <c r="F13" i="3"/>
  <c r="D24" i="3" l="1"/>
  <c r="D18" i="3"/>
  <c r="F24" i="3"/>
  <c r="F18" i="3"/>
  <c r="E24" i="3"/>
  <c r="E18" i="3"/>
  <c r="C24" i="3"/>
  <c r="C18" i="3"/>
  <c r="G11" i="12" l="1"/>
  <c r="J7" i="12"/>
  <c r="I7" i="12"/>
  <c r="H7" i="12"/>
  <c r="J6" i="12"/>
  <c r="J11" i="12" s="1"/>
  <c r="I6" i="12"/>
  <c r="H6" i="12"/>
  <c r="G9" i="12" l="1"/>
  <c r="G13" i="12" s="1"/>
  <c r="H9" i="12"/>
  <c r="H11" i="12"/>
  <c r="I9" i="12"/>
  <c r="J9" i="12"/>
  <c r="J13" i="12" s="1"/>
  <c r="I11" i="12"/>
  <c r="H13" i="12" l="1"/>
  <c r="I13" i="12"/>
  <c r="F32" i="10"/>
  <c r="F26" i="10"/>
  <c r="F20" i="10"/>
  <c r="F34" i="10" l="1"/>
  <c r="F51" i="9"/>
  <c r="E51" i="9"/>
  <c r="D51" i="9"/>
  <c r="C51" i="9"/>
  <c r="F45" i="9"/>
  <c r="E45" i="9"/>
  <c r="D45" i="9"/>
  <c r="C45" i="9"/>
  <c r="F36" i="9"/>
  <c r="E36" i="9"/>
  <c r="D36" i="9"/>
  <c r="C36" i="9"/>
  <c r="F30" i="9"/>
  <c r="E30" i="9"/>
  <c r="D30" i="9"/>
  <c r="C30" i="9"/>
  <c r="F21" i="9"/>
  <c r="E21" i="9"/>
  <c r="E50" i="9" s="1"/>
  <c r="D21" i="9"/>
  <c r="D50" i="9" s="1"/>
  <c r="C21" i="9"/>
  <c r="C50" i="9" s="1"/>
  <c r="F13" i="9"/>
  <c r="E13" i="9"/>
  <c r="E23" i="9" s="1"/>
  <c r="D13" i="9"/>
  <c r="C13" i="9"/>
  <c r="F33" i="7"/>
  <c r="E33" i="7"/>
  <c r="D33" i="7"/>
  <c r="F30" i="7"/>
  <c r="E30" i="7"/>
  <c r="D30" i="7"/>
  <c r="C30" i="7"/>
  <c r="F22" i="7"/>
  <c r="E22" i="7"/>
  <c r="D22" i="7"/>
  <c r="C22" i="7"/>
  <c r="F11" i="7"/>
  <c r="F13" i="7" s="1"/>
  <c r="E11" i="7"/>
  <c r="E13" i="7" s="1"/>
  <c r="D11" i="7"/>
  <c r="D13" i="7" s="1"/>
  <c r="C11" i="7"/>
  <c r="C13" i="7" s="1"/>
  <c r="F8" i="2"/>
  <c r="F12" i="2" s="1"/>
  <c r="E8" i="2"/>
  <c r="E12" i="2" s="1"/>
  <c r="D8" i="2"/>
  <c r="D12" i="2" s="1"/>
  <c r="C8" i="2"/>
  <c r="C12" i="2" s="1"/>
  <c r="F8" i="4"/>
  <c r="F12" i="4" s="1"/>
  <c r="E8" i="4"/>
  <c r="E12" i="4" s="1"/>
  <c r="D8" i="4"/>
  <c r="D12" i="4" s="1"/>
  <c r="C8" i="4"/>
  <c r="C12" i="4" s="1"/>
  <c r="F8" i="1"/>
  <c r="E8" i="1"/>
  <c r="D8" i="1"/>
  <c r="C8" i="1"/>
  <c r="F50" i="9" l="1"/>
  <c r="F23" i="9"/>
  <c r="D12" i="1"/>
  <c r="E12" i="1"/>
  <c r="C12" i="1"/>
  <c r="C13" i="1" s="1"/>
  <c r="F12" i="1"/>
  <c r="F17" i="1" s="1"/>
  <c r="D23" i="9"/>
  <c r="C23" i="9"/>
  <c r="C47" i="9"/>
  <c r="C49" i="9" s="1"/>
  <c r="D47" i="9"/>
  <c r="D49" i="9" s="1"/>
  <c r="E47" i="9"/>
  <c r="E49" i="9" s="1"/>
  <c r="F47" i="9"/>
  <c r="F49" i="9" s="1"/>
  <c r="E18" i="7"/>
  <c r="E34" i="7"/>
  <c r="C34" i="7"/>
  <c r="C18" i="7"/>
  <c r="C36" i="7" s="1"/>
  <c r="D34" i="7"/>
  <c r="D18" i="7"/>
  <c r="F34" i="7"/>
  <c r="F18" i="7"/>
  <c r="D17" i="1"/>
  <c r="D13" i="1"/>
  <c r="D17" i="4"/>
  <c r="D13" i="4"/>
  <c r="E17" i="1"/>
  <c r="E13" i="1"/>
  <c r="E17" i="4"/>
  <c r="E13" i="4"/>
  <c r="E17" i="2"/>
  <c r="E13" i="2"/>
  <c r="C17" i="1"/>
  <c r="C17" i="4"/>
  <c r="C13" i="4"/>
  <c r="C13" i="2"/>
  <c r="C17" i="2"/>
  <c r="D13" i="2"/>
  <c r="D17" i="2"/>
  <c r="F17" i="4"/>
  <c r="F13" i="4"/>
  <c r="F17" i="2"/>
  <c r="F13" i="2"/>
  <c r="C55" i="9" l="1"/>
  <c r="E55" i="9"/>
  <c r="D55" i="9"/>
  <c r="F55" i="9"/>
  <c r="F13" i="1"/>
  <c r="C37" i="7"/>
  <c r="C35" i="7"/>
  <c r="C24" i="7"/>
  <c r="D37" i="7"/>
  <c r="D36" i="7"/>
  <c r="D35" i="7"/>
  <c r="D24" i="7"/>
  <c r="F37" i="7"/>
  <c r="F36" i="7"/>
  <c r="F35" i="7"/>
  <c r="F24" i="7"/>
  <c r="E24" i="7"/>
  <c r="E37" i="7"/>
  <c r="E36" i="7"/>
  <c r="E35" i="7"/>
  <c r="C18" i="2"/>
  <c r="C24" i="2"/>
  <c r="C25" i="2" s="1"/>
  <c r="F24" i="1"/>
  <c r="F25" i="1" s="1"/>
  <c r="F18" i="1"/>
  <c r="C18" i="1"/>
  <c r="C24" i="1"/>
  <c r="C25" i="1" s="1"/>
  <c r="D24" i="4"/>
  <c r="D25" i="4" s="1"/>
  <c r="D18" i="4"/>
  <c r="D24" i="2"/>
  <c r="D25" i="2" s="1"/>
  <c r="D18" i="2"/>
  <c r="C25" i="3"/>
  <c r="F24" i="2"/>
  <c r="F25" i="2" s="1"/>
  <c r="F18" i="2"/>
  <c r="F24" i="4"/>
  <c r="F25" i="4" s="1"/>
  <c r="F18" i="4"/>
  <c r="D25" i="3"/>
  <c r="E25" i="3"/>
  <c r="E24" i="5"/>
  <c r="E25" i="5" s="1"/>
  <c r="F25" i="3"/>
  <c r="F24" i="5"/>
  <c r="F25" i="5" s="1"/>
  <c r="D24" i="5"/>
  <c r="D25" i="5" s="1"/>
  <c r="C18" i="4"/>
  <c r="C24" i="4"/>
  <c r="C25" i="4" s="1"/>
  <c r="E24" i="2"/>
  <c r="E25" i="2" s="1"/>
  <c r="E18" i="2"/>
  <c r="E24" i="4"/>
  <c r="E25" i="4" s="1"/>
  <c r="E18" i="4"/>
  <c r="E24" i="1"/>
  <c r="E25" i="1" s="1"/>
  <c r="E18" i="1"/>
  <c r="D18" i="1"/>
  <c r="D24" i="1"/>
  <c r="D25" i="1" s="1"/>
  <c r="C24" i="5"/>
  <c r="C25" i="5" s="1"/>
  <c r="C32" i="10" l="1"/>
  <c r="G32" i="10"/>
  <c r="H32" i="10"/>
  <c r="I32" i="10"/>
  <c r="J32" i="10"/>
  <c r="K32" i="10"/>
  <c r="L32" i="10"/>
  <c r="M32" i="10"/>
  <c r="N32" i="10"/>
  <c r="G26" i="10"/>
  <c r="H26" i="10"/>
  <c r="I26" i="10"/>
  <c r="J26" i="10"/>
  <c r="K26" i="10"/>
  <c r="L26" i="10"/>
  <c r="M26" i="10"/>
  <c r="N26" i="10"/>
  <c r="C20" i="10"/>
  <c r="G20" i="10"/>
  <c r="H20" i="10"/>
  <c r="I20" i="10"/>
  <c r="J20" i="10"/>
  <c r="K20" i="10"/>
  <c r="L20" i="10"/>
  <c r="M20" i="10"/>
  <c r="N20" i="10"/>
  <c r="G51" i="9"/>
  <c r="H51" i="9"/>
  <c r="I51" i="9"/>
  <c r="J51" i="9"/>
  <c r="K51" i="9"/>
  <c r="G45" i="9"/>
  <c r="H45" i="9"/>
  <c r="I45" i="9"/>
  <c r="J45" i="9"/>
  <c r="K45" i="9"/>
  <c r="N45" i="9"/>
  <c r="M45" i="9"/>
  <c r="L45" i="9"/>
  <c r="N36" i="9"/>
  <c r="N47" i="9" s="1"/>
  <c r="M36" i="9"/>
  <c r="L36" i="9"/>
  <c r="K36" i="9"/>
  <c r="J36" i="9"/>
  <c r="I36" i="9"/>
  <c r="H36" i="9"/>
  <c r="G36" i="9"/>
  <c r="G30" i="9"/>
  <c r="H30" i="9"/>
  <c r="I30" i="9"/>
  <c r="I47" i="9" s="1"/>
  <c r="J30" i="9"/>
  <c r="K30" i="9"/>
  <c r="L30" i="9"/>
  <c r="L47" i="9" s="1"/>
  <c r="M30" i="9"/>
  <c r="M47" i="9" s="1"/>
  <c r="N30" i="9"/>
  <c r="M34" i="10" l="1"/>
  <c r="J47" i="9"/>
  <c r="J49" i="9"/>
  <c r="I49" i="9"/>
  <c r="H47" i="9"/>
  <c r="H49" i="9"/>
  <c r="N34" i="10"/>
  <c r="J34" i="10"/>
  <c r="C34" i="10"/>
  <c r="I34" i="10"/>
  <c r="L34" i="10"/>
  <c r="H34" i="10"/>
  <c r="G34" i="10"/>
  <c r="K34" i="10"/>
  <c r="K47" i="9"/>
  <c r="K49" i="9" s="1"/>
  <c r="G47" i="9"/>
  <c r="G49" i="9" s="1"/>
  <c r="C37" i="10" l="1"/>
  <c r="D35" i="10" s="1"/>
  <c r="D37" i="10" s="1"/>
  <c r="E35" i="10" s="1"/>
  <c r="E37" i="10" s="1"/>
  <c r="F35" i="10" s="1"/>
  <c r="F37" i="10" s="1"/>
  <c r="G35" i="10" s="1"/>
  <c r="G37" i="10" l="1"/>
  <c r="H35" i="10" s="1"/>
  <c r="H37" i="10" s="1"/>
  <c r="I35" i="10" s="1"/>
  <c r="I37" i="10" s="1"/>
  <c r="J35" i="10" s="1"/>
  <c r="J37" i="10" s="1"/>
  <c r="K35" i="10" s="1"/>
  <c r="K37" i="10" s="1"/>
  <c r="L35" i="10" s="1"/>
  <c r="L37" i="10" s="1"/>
  <c r="M35" i="10" s="1"/>
  <c r="M37" i="10" s="1"/>
  <c r="N35" i="10" s="1"/>
  <c r="N37" i="10" s="1"/>
  <c r="G21" i="9"/>
  <c r="G50" i="9" s="1"/>
  <c r="H21" i="9"/>
  <c r="H50" i="9" s="1"/>
  <c r="I21" i="9"/>
  <c r="J21" i="9"/>
  <c r="J50" i="9" s="1"/>
  <c r="K21" i="9"/>
  <c r="K50" i="9" s="1"/>
  <c r="L21" i="9"/>
  <c r="M21" i="9"/>
  <c r="N21" i="9"/>
  <c r="G13" i="9"/>
  <c r="H13" i="9"/>
  <c r="H23" i="9" s="1"/>
  <c r="H55" i="9" s="1"/>
  <c r="I13" i="9"/>
  <c r="J13" i="9"/>
  <c r="J23" i="9" s="1"/>
  <c r="J55" i="9" s="1"/>
  <c r="K13" i="9"/>
  <c r="L13" i="9"/>
  <c r="L23" i="9" s="1"/>
  <c r="M13" i="9"/>
  <c r="N13" i="9"/>
  <c r="N23" i="9" s="1"/>
  <c r="H33" i="7"/>
  <c r="I33" i="7"/>
  <c r="J33" i="7"/>
  <c r="K33" i="7"/>
  <c r="G33" i="7"/>
  <c r="G30" i="7"/>
  <c r="H30" i="7"/>
  <c r="I30" i="7"/>
  <c r="J30" i="7"/>
  <c r="K30" i="7"/>
  <c r="L30" i="7"/>
  <c r="M30" i="7"/>
  <c r="N30" i="7"/>
  <c r="G22" i="7"/>
  <c r="H22" i="7"/>
  <c r="I22" i="7"/>
  <c r="J22" i="7"/>
  <c r="K22" i="7"/>
  <c r="L22" i="7"/>
  <c r="M22" i="7"/>
  <c r="N22" i="7"/>
  <c r="G11" i="7"/>
  <c r="G13" i="7" s="1"/>
  <c r="H11" i="7"/>
  <c r="H13" i="7" s="1"/>
  <c r="I11" i="7"/>
  <c r="I13" i="7" s="1"/>
  <c r="J11" i="7"/>
  <c r="J13" i="7" s="1"/>
  <c r="J34" i="7" s="1"/>
  <c r="K11" i="7"/>
  <c r="K13" i="7" s="1"/>
  <c r="L11" i="7"/>
  <c r="L13" i="7" s="1"/>
  <c r="M11" i="7"/>
  <c r="M13" i="7" s="1"/>
  <c r="N11" i="7"/>
  <c r="N13" i="7" s="1"/>
  <c r="M23" i="9" l="1"/>
  <c r="I23" i="9"/>
  <c r="I55" i="9" s="1"/>
  <c r="I50" i="9"/>
  <c r="G23" i="9"/>
  <c r="G55" i="9" s="1"/>
  <c r="K23" i="9"/>
  <c r="K55" i="9" s="1"/>
  <c r="M18" i="7"/>
  <c r="L18" i="7"/>
  <c r="H18" i="7"/>
  <c r="H34" i="7"/>
  <c r="I18" i="7"/>
  <c r="I34" i="7"/>
  <c r="G18" i="7"/>
  <c r="G34" i="7"/>
  <c r="K34" i="7"/>
  <c r="K18" i="7"/>
  <c r="N18" i="7"/>
  <c r="J18" i="7"/>
  <c r="I24" i="7" l="1"/>
  <c r="I36" i="7"/>
  <c r="I35" i="7"/>
  <c r="I37" i="7"/>
  <c r="L24" i="7"/>
  <c r="K24" i="7"/>
  <c r="K35" i="7"/>
  <c r="K37" i="7"/>
  <c r="K36" i="7"/>
  <c r="J24" i="7"/>
  <c r="J37" i="7"/>
  <c r="J35" i="7"/>
  <c r="J36" i="7"/>
  <c r="M24" i="7"/>
  <c r="N24" i="7"/>
  <c r="G24" i="7"/>
  <c r="G35" i="7"/>
  <c r="G37" i="7"/>
  <c r="G36" i="7"/>
  <c r="H24" i="7"/>
  <c r="H36" i="7"/>
  <c r="H35" i="7"/>
  <c r="H37" i="7"/>
  <c r="N8" i="5" l="1"/>
  <c r="N12" i="5" s="1"/>
  <c r="N13" i="5" s="1"/>
  <c r="M8" i="5"/>
  <c r="M12" i="5" s="1"/>
  <c r="M13" i="5" s="1"/>
  <c r="L8" i="5"/>
  <c r="L12" i="5" s="1"/>
  <c r="K8" i="5"/>
  <c r="K12" i="5" s="1"/>
  <c r="J8" i="5"/>
  <c r="J12" i="5" s="1"/>
  <c r="J13" i="5" s="1"/>
  <c r="I8" i="5"/>
  <c r="I12" i="5" s="1"/>
  <c r="I13" i="5" s="1"/>
  <c r="H8" i="5"/>
  <c r="H12" i="5" s="1"/>
  <c r="G8" i="5"/>
  <c r="G12" i="5" s="1"/>
  <c r="N8" i="4"/>
  <c r="N12" i="4" s="1"/>
  <c r="N13" i="4" s="1"/>
  <c r="M8" i="4"/>
  <c r="M12" i="4" s="1"/>
  <c r="M13" i="4" s="1"/>
  <c r="L8" i="4"/>
  <c r="L12" i="4" s="1"/>
  <c r="K8" i="4"/>
  <c r="K12" i="4" s="1"/>
  <c r="J8" i="4"/>
  <c r="J12" i="4" s="1"/>
  <c r="J13" i="4" s="1"/>
  <c r="I8" i="4"/>
  <c r="I12" i="4" s="1"/>
  <c r="I17" i="4" s="1"/>
  <c r="H8" i="4"/>
  <c r="H12" i="4" s="1"/>
  <c r="G8" i="4"/>
  <c r="G12" i="4" s="1"/>
  <c r="N8" i="3"/>
  <c r="N12" i="3" s="1"/>
  <c r="M8" i="3"/>
  <c r="M12" i="3" s="1"/>
  <c r="L8" i="3"/>
  <c r="L12" i="3" s="1"/>
  <c r="L13" i="3" s="1"/>
  <c r="K8" i="3"/>
  <c r="K12" i="3" s="1"/>
  <c r="K17" i="3" s="1"/>
  <c r="J8" i="3"/>
  <c r="J12" i="3" s="1"/>
  <c r="I8" i="3"/>
  <c r="I12" i="3" s="1"/>
  <c r="H8" i="3"/>
  <c r="H12" i="3" s="1"/>
  <c r="H13" i="3" s="1"/>
  <c r="G8" i="3"/>
  <c r="G12" i="3" s="1"/>
  <c r="G13" i="3" s="1"/>
  <c r="N8" i="2"/>
  <c r="N12" i="2" s="1"/>
  <c r="M8" i="2"/>
  <c r="M12" i="2" s="1"/>
  <c r="L8" i="2"/>
  <c r="L12" i="2" s="1"/>
  <c r="L13" i="2" s="1"/>
  <c r="K8" i="2"/>
  <c r="K12" i="2" s="1"/>
  <c r="K17" i="2" s="1"/>
  <c r="J8" i="2"/>
  <c r="J12" i="2" s="1"/>
  <c r="I8" i="2"/>
  <c r="I12" i="2" s="1"/>
  <c r="H8" i="2"/>
  <c r="H12" i="2" s="1"/>
  <c r="H13" i="2" s="1"/>
  <c r="G8" i="2"/>
  <c r="G12" i="2" s="1"/>
  <c r="G13" i="2" s="1"/>
  <c r="N8" i="1"/>
  <c r="N12" i="1" s="1"/>
  <c r="M8" i="1"/>
  <c r="M12" i="1" s="1"/>
  <c r="M17" i="1" s="1"/>
  <c r="L8" i="1"/>
  <c r="L12" i="1" s="1"/>
  <c r="K8" i="1"/>
  <c r="J8" i="1"/>
  <c r="I8" i="1"/>
  <c r="H8" i="1"/>
  <c r="G8" i="1"/>
  <c r="K12" i="1" l="1"/>
  <c r="G12" i="1"/>
  <c r="H12" i="1"/>
  <c r="I12" i="1"/>
  <c r="I13" i="1" s="1"/>
  <c r="J12" i="1"/>
  <c r="G17" i="5"/>
  <c r="G13" i="5"/>
  <c r="K17" i="5"/>
  <c r="K13" i="5"/>
  <c r="H17" i="5"/>
  <c r="H13" i="5"/>
  <c r="L17" i="5"/>
  <c r="L13" i="5"/>
  <c r="N17" i="5"/>
  <c r="I17" i="5"/>
  <c r="M17" i="5"/>
  <c r="J17" i="5"/>
  <c r="I18" i="4"/>
  <c r="I24" i="4"/>
  <c r="I25" i="4" s="1"/>
  <c r="I17" i="3"/>
  <c r="I13" i="3"/>
  <c r="M13" i="3"/>
  <c r="M17" i="3"/>
  <c r="K24" i="3"/>
  <c r="K25" i="3" s="1"/>
  <c r="K18" i="3"/>
  <c r="G17" i="4"/>
  <c r="G13" i="4"/>
  <c r="K13" i="4"/>
  <c r="K17" i="4"/>
  <c r="J17" i="3"/>
  <c r="J13" i="3"/>
  <c r="N17" i="3"/>
  <c r="N13" i="3"/>
  <c r="H17" i="4"/>
  <c r="H13" i="4"/>
  <c r="L17" i="4"/>
  <c r="L13" i="4"/>
  <c r="G17" i="3"/>
  <c r="M17" i="4"/>
  <c r="L17" i="3"/>
  <c r="N17" i="4"/>
  <c r="K13" i="3"/>
  <c r="I13" i="4"/>
  <c r="H17" i="3"/>
  <c r="J17" i="4"/>
  <c r="I13" i="2"/>
  <c r="I17" i="2"/>
  <c r="M13" i="2"/>
  <c r="M17" i="2"/>
  <c r="K18" i="2"/>
  <c r="K24" i="2"/>
  <c r="K25" i="2" s="1"/>
  <c r="J17" i="2"/>
  <c r="J13" i="2"/>
  <c r="N17" i="2"/>
  <c r="N13" i="2"/>
  <c r="G17" i="2"/>
  <c r="L17" i="2"/>
  <c r="K13" i="2"/>
  <c r="H17" i="2"/>
  <c r="J13" i="1"/>
  <c r="J17" i="1"/>
  <c r="G17" i="1"/>
  <c r="G13" i="1"/>
  <c r="K13" i="1"/>
  <c r="K17" i="1"/>
  <c r="L17" i="1"/>
  <c r="L13" i="1"/>
  <c r="N13" i="1"/>
  <c r="N17" i="1"/>
  <c r="H17" i="1"/>
  <c r="H13" i="1"/>
  <c r="M24" i="1"/>
  <c r="M25" i="1" s="1"/>
  <c r="M18" i="1"/>
  <c r="I17" i="1"/>
  <c r="M13" i="1"/>
  <c r="I18" i="5" l="1"/>
  <c r="I24" i="5"/>
  <c r="I25" i="5" s="1"/>
  <c r="L24" i="5"/>
  <c r="L25" i="5" s="1"/>
  <c r="L18" i="5"/>
  <c r="K24" i="5"/>
  <c r="K25" i="5" s="1"/>
  <c r="K18" i="5"/>
  <c r="J18" i="5"/>
  <c r="J24" i="5"/>
  <c r="J25" i="5" s="1"/>
  <c r="N18" i="5"/>
  <c r="N24" i="5"/>
  <c r="N25" i="5" s="1"/>
  <c r="H24" i="5"/>
  <c r="H25" i="5" s="1"/>
  <c r="H18" i="5"/>
  <c r="G24" i="5"/>
  <c r="G25" i="5" s="1"/>
  <c r="G18" i="5"/>
  <c r="M18" i="5"/>
  <c r="M24" i="5"/>
  <c r="M25" i="5" s="1"/>
  <c r="L24" i="4"/>
  <c r="L25" i="4" s="1"/>
  <c r="L18" i="4"/>
  <c r="J18" i="4"/>
  <c r="J24" i="4"/>
  <c r="J25" i="4" s="1"/>
  <c r="N18" i="4"/>
  <c r="N24" i="4"/>
  <c r="N25" i="4" s="1"/>
  <c r="K24" i="4"/>
  <c r="K25" i="4" s="1"/>
  <c r="K18" i="4"/>
  <c r="L18" i="3"/>
  <c r="L24" i="3"/>
  <c r="L25" i="3" s="1"/>
  <c r="M18" i="3"/>
  <c r="M24" i="3"/>
  <c r="M25" i="3" s="1"/>
  <c r="M24" i="4"/>
  <c r="M25" i="4" s="1"/>
  <c r="M18" i="4"/>
  <c r="N24" i="3"/>
  <c r="N25" i="3" s="1"/>
  <c r="N18" i="3"/>
  <c r="G24" i="4"/>
  <c r="G25" i="4" s="1"/>
  <c r="G18" i="4"/>
  <c r="H18" i="3"/>
  <c r="H24" i="3"/>
  <c r="H25" i="3" s="1"/>
  <c r="G18" i="3"/>
  <c r="G24" i="3"/>
  <c r="G25" i="3" s="1"/>
  <c r="H24" i="4"/>
  <c r="H25" i="4" s="1"/>
  <c r="H18" i="4"/>
  <c r="J24" i="3"/>
  <c r="J25" i="3" s="1"/>
  <c r="J18" i="3"/>
  <c r="I18" i="3"/>
  <c r="I24" i="3"/>
  <c r="I25" i="3" s="1"/>
  <c r="L18" i="2"/>
  <c r="L24" i="2"/>
  <c r="L25" i="2" s="1"/>
  <c r="G18" i="2"/>
  <c r="G24" i="2"/>
  <c r="G25" i="2" s="1"/>
  <c r="J24" i="2"/>
  <c r="J25" i="2" s="1"/>
  <c r="J18" i="2"/>
  <c r="M18" i="2"/>
  <c r="M24" i="2"/>
  <c r="M25" i="2" s="1"/>
  <c r="H18" i="2"/>
  <c r="H24" i="2"/>
  <c r="H25" i="2" s="1"/>
  <c r="I18" i="2"/>
  <c r="I24" i="2"/>
  <c r="I25" i="2" s="1"/>
  <c r="N24" i="2"/>
  <c r="N25" i="2" s="1"/>
  <c r="N18" i="2"/>
  <c r="G24" i="1"/>
  <c r="G25" i="1" s="1"/>
  <c r="G18" i="1"/>
  <c r="K24" i="1"/>
  <c r="K25" i="1" s="1"/>
  <c r="K18" i="1"/>
  <c r="J18" i="1"/>
  <c r="J24" i="1"/>
  <c r="J25" i="1" s="1"/>
  <c r="N18" i="1"/>
  <c r="N24" i="1"/>
  <c r="N25" i="1" s="1"/>
  <c r="I18" i="1"/>
  <c r="I24" i="1"/>
  <c r="I25" i="1" s="1"/>
  <c r="H24" i="1"/>
  <c r="H25" i="1" s="1"/>
  <c r="H18" i="1"/>
  <c r="L24" i="1"/>
  <c r="L25" i="1" s="1"/>
  <c r="L18" i="1"/>
</calcChain>
</file>

<file path=xl/comments1.xml><?xml version="1.0" encoding="utf-8"?>
<comments xmlns="http://schemas.openxmlformats.org/spreadsheetml/2006/main">
  <authors>
    <author>Tor Eirik Knutsen</author>
  </authors>
  <commentList>
    <comment ref="I15" authorId="0" shapeId="0">
      <text>
        <r>
          <rPr>
            <b/>
            <sz val="9"/>
            <color indexed="81"/>
            <rFont val="Tahoma"/>
            <family val="2"/>
          </rPr>
          <t>Tor Eirik Knutsen:</t>
        </r>
        <r>
          <rPr>
            <sz val="9"/>
            <color indexed="81"/>
            <rFont val="Tahoma"/>
            <family val="2"/>
          </rPr>
          <t xml:space="preserve">
Includes NPRA settlement of 27,823 MNOK. See Q3-17 report for further explanation</t>
        </r>
      </text>
    </comment>
  </commentList>
</comments>
</file>

<file path=xl/comments2.xml><?xml version="1.0" encoding="utf-8"?>
<comments xmlns="http://schemas.openxmlformats.org/spreadsheetml/2006/main">
  <authors>
    <author>Tor Eirik Knutsen</author>
  </authors>
  <commentList>
    <comment ref="I10" authorId="0" shapeId="0">
      <text>
        <r>
          <rPr>
            <b/>
            <sz val="9"/>
            <color indexed="81"/>
            <rFont val="Tahoma"/>
            <family val="2"/>
          </rPr>
          <t>Tor Eirik Knutsen:</t>
        </r>
        <r>
          <rPr>
            <sz val="9"/>
            <color indexed="81"/>
            <rFont val="Tahoma"/>
            <family val="2"/>
          </rPr>
          <t xml:space="preserve">
Includes 27,823 MNOK in settlement with NPRA. See Q3-17 report for more detailed explanation.</t>
        </r>
      </text>
    </comment>
  </commentList>
</comments>
</file>

<file path=xl/sharedStrings.xml><?xml version="1.0" encoding="utf-8"?>
<sst xmlns="http://schemas.openxmlformats.org/spreadsheetml/2006/main" count="316" uniqueCount="128">
  <si>
    <t>TOLLING</t>
  </si>
  <si>
    <t>(TNOK)</t>
  </si>
  <si>
    <t>Q1</t>
  </si>
  <si>
    <t>Q2</t>
  </si>
  <si>
    <t>Q3</t>
  </si>
  <si>
    <t>Q4</t>
  </si>
  <si>
    <t>EUROPE</t>
  </si>
  <si>
    <t>APMEA</t>
  </si>
  <si>
    <t>AMERICAS</t>
  </si>
  <si>
    <t>Revenues</t>
  </si>
  <si>
    <t>Cost of goods sold</t>
  </si>
  <si>
    <t>Contractors</t>
  </si>
  <si>
    <t>Gross contribution</t>
  </si>
  <si>
    <t>Gross margin - %</t>
  </si>
  <si>
    <t xml:space="preserve">Operating expenses </t>
  </si>
  <si>
    <t>EBITDA</t>
  </si>
  <si>
    <t>EBITDA margin</t>
  </si>
  <si>
    <t>Depreciation</t>
  </si>
  <si>
    <t>Amortization of intangible assets</t>
  </si>
  <si>
    <t>Impairment</t>
  </si>
  <si>
    <t>EBIT</t>
  </si>
  <si>
    <t>EBIT margin</t>
  </si>
  <si>
    <t>Please note - As a result of rounding differences, numbers or percentages may not add up to the total.</t>
  </si>
  <si>
    <t>PARKING</t>
  </si>
  <si>
    <t>INFOMOBILITY</t>
  </si>
  <si>
    <t>URBAN</t>
  </si>
  <si>
    <t>INTER-URBAN</t>
  </si>
  <si>
    <t>Q-Free Group</t>
  </si>
  <si>
    <t>CONSOLIDATED INCOME STATEMENT</t>
  </si>
  <si>
    <t xml:space="preserve">Cost of goods sold </t>
  </si>
  <si>
    <t>Personnel expenses</t>
  </si>
  <si>
    <t>Other operating expenses</t>
  </si>
  <si>
    <t xml:space="preserve">Total operating expenses </t>
  </si>
  <si>
    <t>Depreciation and amortisation</t>
  </si>
  <si>
    <t>Financial income</t>
  </si>
  <si>
    <t>Financial expenses</t>
  </si>
  <si>
    <t>Net financial items</t>
  </si>
  <si>
    <t>Profit before tax</t>
  </si>
  <si>
    <t>Tax expenses</t>
  </si>
  <si>
    <t>Profit after tax from continuing operations</t>
  </si>
  <si>
    <t>Profit after tax on discontinued operations</t>
  </si>
  <si>
    <t>Profit</t>
  </si>
  <si>
    <t>EPS (NOK)</t>
  </si>
  <si>
    <t>EPS, diluted (NOK)</t>
  </si>
  <si>
    <t xml:space="preserve"> EBITDA</t>
  </si>
  <si>
    <t xml:space="preserve"> EBIT</t>
  </si>
  <si>
    <t>Gross margin</t>
  </si>
  <si>
    <t>Average number of shares</t>
  </si>
  <si>
    <t>Average number of shares diluted</t>
  </si>
  <si>
    <t xml:space="preserve">Development </t>
  </si>
  <si>
    <t xml:space="preserve">Goodwill </t>
  </si>
  <si>
    <t xml:space="preserve">Deferred tax assets </t>
  </si>
  <si>
    <t>Machinery, fixtures and fittings</t>
  </si>
  <si>
    <t>Shares</t>
  </si>
  <si>
    <t>Pension funds</t>
  </si>
  <si>
    <t>Other long term receivables</t>
  </si>
  <si>
    <t xml:space="preserve">Total non - current assets </t>
  </si>
  <si>
    <t>Inventories</t>
  </si>
  <si>
    <t>Accounts receivables</t>
  </si>
  <si>
    <t>Contract assets</t>
  </si>
  <si>
    <t>Other receivables</t>
  </si>
  <si>
    <t>Total current assets</t>
  </si>
  <si>
    <t>Assets held for sale</t>
  </si>
  <si>
    <t>Cash and cash equivalents</t>
  </si>
  <si>
    <t>Total assets</t>
  </si>
  <si>
    <t>31 Mar</t>
  </si>
  <si>
    <t>30 Jun</t>
  </si>
  <si>
    <t>30 Sep</t>
  </si>
  <si>
    <t>31 Dec</t>
  </si>
  <si>
    <t>Subscribed share capital</t>
  </si>
  <si>
    <t>Share premium reserve</t>
  </si>
  <si>
    <t>Other paid in capital</t>
  </si>
  <si>
    <t>Other equity</t>
  </si>
  <si>
    <t>Total equity</t>
  </si>
  <si>
    <t>Pension liabilities</t>
  </si>
  <si>
    <t>Deferred tax</t>
  </si>
  <si>
    <t>Debt to financial institutions</t>
  </si>
  <si>
    <t>Contract liabilities</t>
  </si>
  <si>
    <t>Other non-current liabilities</t>
  </si>
  <si>
    <t>Total non-current liabilities</t>
  </si>
  <si>
    <t>Accounts payable</t>
  </si>
  <si>
    <t>Tax payable</t>
  </si>
  <si>
    <t>Public duties payable</t>
  </si>
  <si>
    <t>Other short term debt</t>
  </si>
  <si>
    <t>Total current liabilities</t>
  </si>
  <si>
    <t>Liabilities held for sale</t>
  </si>
  <si>
    <t>Total equity and liabilities</t>
  </si>
  <si>
    <t>Equity ratio</t>
  </si>
  <si>
    <t>Net working capital excl debt to financial institutions</t>
  </si>
  <si>
    <t>Net interest bearing debt</t>
  </si>
  <si>
    <t>CASH FLOW</t>
  </si>
  <si>
    <t>Paid taxes</t>
  </si>
  <si>
    <t>Pension cost without cash flow effect</t>
  </si>
  <si>
    <t>Shares valued at fair value</t>
  </si>
  <si>
    <t>Cost of share-based payment</t>
  </si>
  <si>
    <t>Working capital adjustments:</t>
  </si>
  <si>
    <t>Changes in inventory</t>
  </si>
  <si>
    <t>Changes in accounts payables</t>
  </si>
  <si>
    <t>Changes in contract assets</t>
  </si>
  <si>
    <t>Changes in other balance sheet items</t>
  </si>
  <si>
    <t>Net cash flow from operations</t>
  </si>
  <si>
    <t>Investments in intangible assets</t>
  </si>
  <si>
    <t>Investments in tangible assets</t>
  </si>
  <si>
    <t>Acquisition of a subsidiary, net of cash acquired</t>
  </si>
  <si>
    <t>Cash flow from discontinued operations</t>
  </si>
  <si>
    <t>Net cash flow from investments</t>
  </si>
  <si>
    <t>Proceeds from new loans</t>
  </si>
  <si>
    <t>Down payments of debt to financial institutions</t>
  </si>
  <si>
    <t>Share issue</t>
  </si>
  <si>
    <t>Other financial items</t>
  </si>
  <si>
    <t>Net cash flow from financing</t>
  </si>
  <si>
    <t>Net change in cash and cash equivalent</t>
  </si>
  <si>
    <t>Cash and cash equivalents per 01.01.</t>
  </si>
  <si>
    <t>Transferred to Assets held for sale</t>
  </si>
  <si>
    <t xml:space="preserve">CASH AND CASH EQUIVALENTS </t>
  </si>
  <si>
    <t>Changes in receivables and prepay.</t>
  </si>
  <si>
    <t xml:space="preserve">Amortisation and impairment of intangibles </t>
  </si>
  <si>
    <t>Depreciation and impairment of property, etc</t>
  </si>
  <si>
    <t>BALANCE SHEET</t>
  </si>
  <si>
    <t>RECLASSIFICATION OF CONTRACTORS FROM OPEX AND COGS</t>
  </si>
  <si>
    <t>Total</t>
  </si>
  <si>
    <t>Cost of goods sold (freight)</t>
  </si>
  <si>
    <t>Cost of goods sold (contractors)</t>
  </si>
  <si>
    <t>Other operating expenses (freight)</t>
  </si>
  <si>
    <t>Other operating exenses (contractors)</t>
  </si>
  <si>
    <t xml:space="preserve">The presentation of the consolidated financial statements is changed in 2018. Contractors defined as external consultants and/or services that are consumed under project executions and service and maintenance are now presented separately in the financial statements. Contractors was previously reported under Other operating expenses and Cost of goods sold. 
The table above shows the changes regarding reclassification in historical figures. </t>
  </si>
  <si>
    <t>The cash flows from discontinued operations are only cash flows from external transactions. Hence, the cash flows presented for discontinued operations do not reflect these operations as if they were stand alone entities. See note 30 in the Annual Repot 2017 for further information.</t>
  </si>
  <si>
    <t>The presentation of the consolidated financial statements is changed in 2018. Contractors defined as external consultants and/or services that are consumed under project executions and service and maintenance are now presented separately in the financial statements. Contractors was previously reported under Other operating expenses and Cost of goods sold. 
The table above shows the changes regarding reclassification in historical figures. 
Please note - As a result of rounding differences, numbers or percentages may not add up to the total. Difference between total segment numbers and the consolidated income statement explained by Global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</si>
</sst>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_(* #,##0_);_(* \(#,##0\);_(* &quot;-&quot;??_);_(@_)"/>
    <numFmt numFmtId="166" formatCode="_(* #,##0.00_);_(* \(#,##0.00\);_(* &quot;-&quot;??_);_(@_)"/>
    <numFmt numFmtId="167" formatCode="#,##0.0"/>
    <numFmt numFmtId="168" formatCode="_-* #,##0_-;\-* #,##0_-;_-* &quot;-&quot;??_-;_-@_-"/>
    <numFmt numFmtId="169" formatCode="0.0"/>
    <numFmt numFmtId="170" formatCode="_(* #,##0.000_);_(* \(#,##0.000\);_(* &quot;-&quot;??_);_(@_)"/>
  </numFmts>
  <fonts count="17">
    <font>
      <sz val="11"/>
      <color theme="1"/>
      <name val="Calibri"/>
      <family val="2"/>
      <scheme val="minor"/>
    </font>
    <font>
      <sz val="11"/>
      <color theme="1"/>
      <name val="Calibri"/>
      <family val="2"/>
      <scheme val="minor"/>
    </font>
    <font>
      <sz val="12"/>
      <name val="Palatino"/>
      <family val="1"/>
    </font>
    <font>
      <b/>
      <sz val="12"/>
      <color indexed="9"/>
      <name val="Arial"/>
      <family val="2"/>
    </font>
    <font>
      <sz val="12"/>
      <name val="Arial"/>
      <family val="2"/>
    </font>
    <font>
      <sz val="10"/>
      <name val="Arial"/>
      <family val="2"/>
    </font>
    <font>
      <b/>
      <sz val="12"/>
      <name val="Arial"/>
      <family val="2"/>
    </font>
    <font>
      <sz val="7"/>
      <color theme="1"/>
      <name val="Arial"/>
      <family val="2"/>
    </font>
    <font>
      <sz val="9"/>
      <name val="Arial"/>
      <family val="2"/>
    </font>
    <font>
      <sz val="8"/>
      <name val="Arial"/>
      <family val="2"/>
    </font>
    <font>
      <b/>
      <sz val="10"/>
      <name val="Arial"/>
      <family val="2"/>
    </font>
    <font>
      <b/>
      <sz val="10"/>
      <color indexed="9"/>
      <name val="Arial"/>
      <family val="2"/>
    </font>
    <font>
      <sz val="10"/>
      <color theme="1"/>
      <name val="Calibri"/>
      <family val="2"/>
      <scheme val="minor"/>
    </font>
    <font>
      <b/>
      <sz val="7"/>
      <color theme="1"/>
      <name val="Arial"/>
      <family val="2"/>
    </font>
    <font>
      <u/>
      <sz val="1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indexed="24"/>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6E6E6"/>
        <bgColor indexed="64"/>
      </patternFill>
    </fill>
  </fills>
  <borders count="29">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indexed="9"/>
      </right>
      <top style="medium">
        <color indexed="9"/>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theme="0"/>
      </right>
      <top style="medium">
        <color indexed="9"/>
      </top>
      <bottom style="medium">
        <color indexed="9"/>
      </bottom>
      <diagonal/>
    </border>
    <border>
      <left style="medium">
        <color theme="0"/>
      </left>
      <right style="medium">
        <color indexed="9"/>
      </right>
      <top/>
      <bottom style="medium">
        <color theme="0"/>
      </bottom>
      <diagonal/>
    </border>
    <border>
      <left style="medium">
        <color indexed="9"/>
      </left>
      <right style="medium">
        <color indexed="9"/>
      </right>
      <top style="medium">
        <color indexed="9"/>
      </top>
      <bottom style="medium">
        <color theme="0"/>
      </bottom>
      <diagonal/>
    </border>
    <border>
      <left style="medium">
        <color indexed="9"/>
      </left>
      <right style="thin">
        <color indexed="64"/>
      </right>
      <top style="medium">
        <color indexed="9"/>
      </top>
      <bottom style="medium">
        <color theme="0"/>
      </bottom>
      <diagonal/>
    </border>
    <border>
      <left style="medium">
        <color indexed="9"/>
      </left>
      <right style="medium">
        <color theme="0"/>
      </right>
      <top style="medium">
        <color indexed="9"/>
      </top>
      <bottom style="medium">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theme="0"/>
      </top>
      <bottom/>
      <diagonal/>
    </border>
    <border>
      <left/>
      <right/>
      <top style="thin">
        <color theme="6"/>
      </top>
      <bottom style="thin">
        <color theme="6"/>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Alignment="0" applyProtection="0"/>
    <xf numFmtId="0" fontId="5" fillId="0" borderId="0"/>
    <xf numFmtId="166" fontId="5" fillId="0" borderId="0" applyFont="0" applyFill="0" applyBorder="0" applyAlignment="0" applyProtection="0"/>
    <xf numFmtId="167" fontId="7" fillId="0" borderId="0" applyFill="0" applyBorder="0" applyProtection="0">
      <alignment horizontal="right" vertical="center" wrapText="1" indent="1"/>
    </xf>
    <xf numFmtId="169" fontId="7" fillId="0" borderId="0" applyProtection="0">
      <alignment vertical="center" wrapText="1"/>
    </xf>
    <xf numFmtId="169" fontId="13" fillId="11" borderId="25" applyNumberFormat="0" applyFill="0" applyAlignment="0" applyProtection="0">
      <alignment vertical="center" wrapText="1"/>
    </xf>
    <xf numFmtId="164" fontId="1" fillId="0" borderId="0" applyFont="0" applyFill="0" applyBorder="0" applyAlignment="0" applyProtection="0"/>
  </cellStyleXfs>
  <cellXfs count="238">
    <xf numFmtId="0" fontId="0" fillId="0" borderId="0" xfId="0"/>
    <xf numFmtId="0" fontId="3" fillId="2" borderId="1" xfId="3" applyFont="1" applyFill="1" applyBorder="1" applyAlignment="1"/>
    <xf numFmtId="165" fontId="4" fillId="4" borderId="13" xfId="3" applyNumberFormat="1" applyFont="1" applyFill="1" applyBorder="1" applyAlignment="1">
      <alignment horizontal="right"/>
    </xf>
    <xf numFmtId="165" fontId="4" fillId="4" borderId="0" xfId="3" applyNumberFormat="1" applyFont="1" applyFill="1" applyBorder="1" applyAlignment="1">
      <alignment horizontal="right"/>
    </xf>
    <xf numFmtId="165" fontId="4" fillId="4" borderId="0" xfId="1" quotePrefix="1" applyNumberFormat="1" applyFont="1" applyFill="1" applyBorder="1" applyAlignment="1">
      <alignment horizontal="right"/>
    </xf>
    <xf numFmtId="165" fontId="4" fillId="6" borderId="13" xfId="3" applyNumberFormat="1" applyFont="1" applyFill="1" applyBorder="1" applyAlignment="1">
      <alignment horizontal="right"/>
    </xf>
    <xf numFmtId="165" fontId="4" fillId="6" borderId="0" xfId="3" applyNumberFormat="1" applyFont="1" applyFill="1" applyBorder="1" applyAlignment="1">
      <alignment horizontal="right"/>
    </xf>
    <xf numFmtId="165" fontId="4" fillId="6" borderId="0" xfId="1" quotePrefix="1" applyNumberFormat="1" applyFont="1" applyFill="1" applyBorder="1" applyAlignment="1">
      <alignment horizontal="right"/>
    </xf>
    <xf numFmtId="0" fontId="5" fillId="7" borderId="9" xfId="3" quotePrefix="1" applyFont="1" applyFill="1" applyBorder="1" applyAlignment="1"/>
    <xf numFmtId="0" fontId="6" fillId="7" borderId="16" xfId="3" quotePrefix="1" applyFont="1" applyFill="1" applyBorder="1" applyAlignment="1"/>
    <xf numFmtId="0" fontId="4" fillId="7" borderId="0" xfId="3" quotePrefix="1" applyFont="1" applyFill="1" applyBorder="1"/>
    <xf numFmtId="0" fontId="4" fillId="7" borderId="2" xfId="3" applyFont="1" applyFill="1" applyBorder="1" applyAlignment="1"/>
    <xf numFmtId="0" fontId="4" fillId="7" borderId="3" xfId="3" applyFont="1" applyFill="1" applyBorder="1" applyAlignment="1"/>
    <xf numFmtId="0" fontId="5" fillId="7" borderId="0" xfId="4" applyFill="1"/>
    <xf numFmtId="0" fontId="5" fillId="7" borderId="0" xfId="4" applyFill="1" applyBorder="1"/>
    <xf numFmtId="165" fontId="4" fillId="9" borderId="13" xfId="3" applyNumberFormat="1" applyFont="1" applyFill="1" applyBorder="1" applyAlignment="1">
      <alignment horizontal="right"/>
    </xf>
    <xf numFmtId="165" fontId="4" fillId="9" borderId="0" xfId="1" quotePrefix="1" applyNumberFormat="1" applyFont="1" applyFill="1" applyBorder="1" applyAlignment="1">
      <alignment horizontal="right"/>
    </xf>
    <xf numFmtId="165" fontId="4" fillId="4" borderId="14" xfId="1" applyNumberFormat="1" applyFont="1" applyFill="1" applyBorder="1" applyAlignment="1">
      <alignment horizontal="right"/>
    </xf>
    <xf numFmtId="3" fontId="0" fillId="0" borderId="0" xfId="0" applyNumberFormat="1"/>
    <xf numFmtId="0" fontId="0" fillId="10" borderId="0" xfId="0" applyFill="1"/>
    <xf numFmtId="0" fontId="5" fillId="10" borderId="0" xfId="4" applyFill="1" applyBorder="1"/>
    <xf numFmtId="0" fontId="6" fillId="10" borderId="22" xfId="3" quotePrefix="1" applyFont="1" applyFill="1" applyBorder="1" applyAlignment="1"/>
    <xf numFmtId="165" fontId="6" fillId="10" borderId="22" xfId="3" applyNumberFormat="1" applyFont="1" applyFill="1" applyBorder="1" applyAlignment="1">
      <alignment horizontal="right"/>
    </xf>
    <xf numFmtId="165" fontId="4" fillId="7" borderId="16" xfId="5" applyNumberFormat="1" applyFont="1" applyFill="1" applyBorder="1"/>
    <xf numFmtId="0" fontId="5" fillId="10" borderId="0" xfId="4" applyFill="1"/>
    <xf numFmtId="0" fontId="5" fillId="10" borderId="16" xfId="4" applyFill="1" applyBorder="1"/>
    <xf numFmtId="0" fontId="4" fillId="10" borderId="2" xfId="3" applyFont="1" applyFill="1" applyBorder="1" applyAlignment="1"/>
    <xf numFmtId="3" fontId="6" fillId="9" borderId="13" xfId="3" applyNumberFormat="1" applyFont="1" applyFill="1" applyBorder="1" applyAlignment="1">
      <alignment horizontal="right"/>
    </xf>
    <xf numFmtId="3" fontId="6" fillId="4" borderId="13" xfId="3" applyNumberFormat="1" applyFont="1" applyFill="1" applyBorder="1" applyAlignment="1">
      <alignment horizontal="right"/>
    </xf>
    <xf numFmtId="3" fontId="6" fillId="6" borderId="13" xfId="3" applyNumberFormat="1" applyFont="1" applyFill="1" applyBorder="1" applyAlignment="1">
      <alignment horizontal="right"/>
    </xf>
    <xf numFmtId="3" fontId="6" fillId="4" borderId="0" xfId="3" applyNumberFormat="1" applyFont="1" applyFill="1" applyBorder="1" applyAlignment="1">
      <alignment horizontal="right"/>
    </xf>
    <xf numFmtId="3" fontId="6" fillId="6" borderId="0" xfId="3" applyNumberFormat="1" applyFont="1" applyFill="1" applyBorder="1" applyAlignment="1">
      <alignment horizontal="right"/>
    </xf>
    <xf numFmtId="165" fontId="5" fillId="9" borderId="13" xfId="3" applyNumberFormat="1" applyFont="1" applyFill="1" applyBorder="1" applyAlignment="1">
      <alignment horizontal="right"/>
    </xf>
    <xf numFmtId="165" fontId="5" fillId="4" borderId="0" xfId="3" applyNumberFormat="1" applyFont="1" applyFill="1" applyBorder="1" applyAlignment="1">
      <alignment horizontal="right"/>
    </xf>
    <xf numFmtId="165" fontId="5" fillId="4" borderId="13" xfId="3" applyNumberFormat="1" applyFont="1" applyFill="1" applyBorder="1" applyAlignment="1">
      <alignment horizontal="right"/>
    </xf>
    <xf numFmtId="165" fontId="5" fillId="6" borderId="0" xfId="3" applyNumberFormat="1" applyFont="1" applyFill="1" applyBorder="1" applyAlignment="1">
      <alignment horizontal="right"/>
    </xf>
    <xf numFmtId="165" fontId="5" fillId="6" borderId="13" xfId="3" applyNumberFormat="1" applyFont="1" applyFill="1" applyBorder="1" applyAlignment="1">
      <alignment horizontal="right"/>
    </xf>
    <xf numFmtId="168" fontId="9" fillId="9" borderId="17" xfId="1" applyNumberFormat="1" applyFont="1" applyFill="1" applyBorder="1" applyAlignment="1">
      <alignment horizontal="right"/>
    </xf>
    <xf numFmtId="168" fontId="9" fillId="4" borderId="22" xfId="1" applyNumberFormat="1" applyFont="1" applyFill="1" applyBorder="1" applyAlignment="1">
      <alignment horizontal="right"/>
    </xf>
    <xf numFmtId="168" fontId="9" fillId="4" borderId="17" xfId="1" applyNumberFormat="1" applyFont="1" applyFill="1" applyBorder="1" applyAlignment="1">
      <alignment horizontal="right"/>
    </xf>
    <xf numFmtId="168" fontId="9" fillId="6" borderId="22" xfId="1" applyNumberFormat="1" applyFont="1" applyFill="1" applyBorder="1" applyAlignment="1">
      <alignment horizontal="right"/>
    </xf>
    <xf numFmtId="168" fontId="9" fillId="6" borderId="17" xfId="1" applyNumberFormat="1" applyFont="1" applyFill="1" applyBorder="1" applyAlignment="1">
      <alignment horizontal="right"/>
    </xf>
    <xf numFmtId="168" fontId="9" fillId="9" borderId="13" xfId="1" applyNumberFormat="1" applyFont="1" applyFill="1" applyBorder="1" applyAlignment="1">
      <alignment horizontal="right"/>
    </xf>
    <xf numFmtId="168" fontId="9" fillId="4" borderId="0" xfId="1" applyNumberFormat="1" applyFont="1" applyFill="1" applyBorder="1" applyAlignment="1">
      <alignment horizontal="right"/>
    </xf>
    <xf numFmtId="168" fontId="9" fillId="4" borderId="13" xfId="1" applyNumberFormat="1" applyFont="1" applyFill="1" applyBorder="1" applyAlignment="1">
      <alignment horizontal="right"/>
    </xf>
    <xf numFmtId="168" fontId="9" fillId="6" borderId="0" xfId="1" applyNumberFormat="1" applyFont="1" applyFill="1" applyBorder="1" applyAlignment="1">
      <alignment horizontal="right"/>
    </xf>
    <xf numFmtId="168" fontId="9" fillId="6" borderId="13" xfId="1" applyNumberFormat="1" applyFont="1" applyFill="1" applyBorder="1" applyAlignment="1">
      <alignment horizontal="right"/>
    </xf>
    <xf numFmtId="0" fontId="5" fillId="7" borderId="0" xfId="3" quotePrefix="1" applyFont="1" applyFill="1" applyBorder="1"/>
    <xf numFmtId="9" fontId="5" fillId="9" borderId="13" xfId="2" applyFont="1" applyFill="1" applyBorder="1" applyAlignment="1">
      <alignment horizontal="right"/>
    </xf>
    <xf numFmtId="9" fontId="5" fillId="4" borderId="0" xfId="2" applyFont="1" applyFill="1" applyBorder="1" applyAlignment="1">
      <alignment horizontal="right"/>
    </xf>
    <xf numFmtId="9" fontId="5" fillId="4" borderId="13" xfId="2" applyFont="1" applyFill="1" applyBorder="1" applyAlignment="1">
      <alignment horizontal="right"/>
    </xf>
    <xf numFmtId="9" fontId="5" fillId="6" borderId="0" xfId="2" applyFont="1" applyFill="1" applyBorder="1" applyAlignment="1">
      <alignment horizontal="right"/>
    </xf>
    <xf numFmtId="9" fontId="5" fillId="6" borderId="13" xfId="2" applyFont="1" applyFill="1" applyBorder="1" applyAlignment="1">
      <alignment horizontal="right"/>
    </xf>
    <xf numFmtId="0" fontId="5" fillId="7" borderId="16" xfId="3" quotePrefix="1" applyFont="1" applyFill="1" applyBorder="1"/>
    <xf numFmtId="9" fontId="10" fillId="6" borderId="0" xfId="2" applyFont="1" applyFill="1" applyBorder="1" applyAlignment="1">
      <alignment horizontal="right"/>
    </xf>
    <xf numFmtId="9" fontId="10" fillId="6" borderId="13" xfId="2" applyFont="1" applyFill="1" applyBorder="1" applyAlignment="1">
      <alignment horizontal="right"/>
    </xf>
    <xf numFmtId="4" fontId="5" fillId="9" borderId="13" xfId="3" applyNumberFormat="1" applyFont="1" applyFill="1" applyBorder="1" applyAlignment="1">
      <alignment horizontal="right"/>
    </xf>
    <xf numFmtId="4" fontId="5" fillId="4" borderId="0" xfId="3" applyNumberFormat="1" applyFont="1" applyFill="1" applyBorder="1" applyAlignment="1">
      <alignment horizontal="right"/>
    </xf>
    <xf numFmtId="4" fontId="5" fillId="4" borderId="13" xfId="3" applyNumberFormat="1" applyFont="1" applyFill="1" applyBorder="1" applyAlignment="1">
      <alignment horizontal="right"/>
    </xf>
    <xf numFmtId="4" fontId="5" fillId="6" borderId="0" xfId="1" applyNumberFormat="1" applyFont="1" applyFill="1" applyBorder="1" applyAlignment="1">
      <alignment horizontal="right"/>
    </xf>
    <xf numFmtId="4" fontId="5" fillId="6" borderId="13" xfId="3" applyNumberFormat="1" applyFont="1" applyFill="1" applyBorder="1" applyAlignment="1">
      <alignment horizontal="right"/>
    </xf>
    <xf numFmtId="4" fontId="5" fillId="6" borderId="0" xfId="3" applyNumberFormat="1" applyFont="1" applyFill="1" applyBorder="1" applyAlignment="1">
      <alignment horizontal="right"/>
    </xf>
    <xf numFmtId="4" fontId="10" fillId="6" borderId="13" xfId="3" applyNumberFormat="1" applyFont="1" applyFill="1" applyBorder="1" applyAlignment="1">
      <alignment horizontal="right"/>
    </xf>
    <xf numFmtId="4" fontId="10" fillId="6" borderId="0" xfId="3" applyNumberFormat="1" applyFont="1" applyFill="1" applyBorder="1" applyAlignment="1">
      <alignment horizontal="right"/>
    </xf>
    <xf numFmtId="0" fontId="4" fillId="7" borderId="20" xfId="3" quotePrefix="1" applyFont="1" applyFill="1" applyBorder="1"/>
    <xf numFmtId="165" fontId="4" fillId="4" borderId="21" xfId="1" applyNumberFormat="1" applyFont="1" applyFill="1" applyBorder="1" applyAlignment="1">
      <alignment horizontal="right"/>
    </xf>
    <xf numFmtId="165" fontId="4" fillId="6" borderId="21" xfId="1" applyNumberFormat="1" applyFont="1" applyFill="1" applyBorder="1" applyAlignment="1">
      <alignment horizontal="right"/>
    </xf>
    <xf numFmtId="165" fontId="4" fillId="6" borderId="14" xfId="1" applyNumberFormat="1" applyFont="1" applyFill="1" applyBorder="1" applyAlignment="1">
      <alignment horizontal="right"/>
    </xf>
    <xf numFmtId="165" fontId="4" fillId="6" borderId="14" xfId="1" quotePrefix="1" applyNumberFormat="1" applyFont="1" applyFill="1" applyBorder="1" applyAlignment="1">
      <alignment horizontal="right"/>
    </xf>
    <xf numFmtId="0" fontId="5" fillId="10" borderId="2" xfId="3" applyFont="1" applyFill="1" applyBorder="1" applyAlignment="1"/>
    <xf numFmtId="0" fontId="10" fillId="7" borderId="9" xfId="3" quotePrefix="1" applyFont="1" applyFill="1" applyBorder="1" applyAlignment="1"/>
    <xf numFmtId="0" fontId="11" fillId="3" borderId="10" xfId="3" applyFont="1" applyFill="1" applyBorder="1" applyAlignment="1">
      <alignment horizontal="center"/>
    </xf>
    <xf numFmtId="0" fontId="11" fillId="3" borderId="11" xfId="3" applyFont="1" applyFill="1" applyBorder="1" applyAlignment="1">
      <alignment horizontal="center"/>
    </xf>
    <xf numFmtId="0" fontId="11" fillId="5" borderId="10" xfId="3" applyFont="1" applyFill="1" applyBorder="1" applyAlignment="1">
      <alignment horizontal="center"/>
    </xf>
    <xf numFmtId="0" fontId="11" fillId="5" borderId="12" xfId="3" applyFont="1" applyFill="1" applyBorder="1" applyAlignment="1">
      <alignment horizontal="center"/>
    </xf>
    <xf numFmtId="0" fontId="10" fillId="7" borderId="13" xfId="3" quotePrefix="1" applyFont="1" applyFill="1" applyBorder="1" applyAlignment="1"/>
    <xf numFmtId="3" fontId="10" fillId="9" borderId="13" xfId="3" applyNumberFormat="1" applyFont="1" applyFill="1" applyBorder="1" applyAlignment="1">
      <alignment horizontal="right"/>
    </xf>
    <xf numFmtId="3" fontId="10" fillId="4" borderId="13" xfId="3" applyNumberFormat="1" applyFont="1" applyFill="1" applyBorder="1" applyAlignment="1">
      <alignment horizontal="right"/>
    </xf>
    <xf numFmtId="3" fontId="10" fillId="6" borderId="13" xfId="3" applyNumberFormat="1" applyFont="1" applyFill="1" applyBorder="1" applyAlignment="1">
      <alignment horizontal="right"/>
    </xf>
    <xf numFmtId="0" fontId="5" fillId="7" borderId="13" xfId="3" quotePrefix="1" applyFont="1" applyFill="1" applyBorder="1" applyAlignment="1"/>
    <xf numFmtId="3" fontId="5" fillId="9" borderId="13" xfId="3" applyNumberFormat="1" applyFont="1" applyFill="1" applyBorder="1" applyAlignment="1">
      <alignment horizontal="right"/>
    </xf>
    <xf numFmtId="3" fontId="5" fillId="4" borderId="13" xfId="3" applyNumberFormat="1" applyFont="1" applyFill="1" applyBorder="1" applyAlignment="1">
      <alignment horizontal="right"/>
    </xf>
    <xf numFmtId="3" fontId="5" fillId="6" borderId="13" xfId="3" applyNumberFormat="1" applyFont="1" applyFill="1" applyBorder="1" applyAlignment="1">
      <alignment horizontal="right"/>
    </xf>
    <xf numFmtId="0" fontId="5" fillId="7" borderId="14" xfId="3" quotePrefix="1" applyFont="1" applyFill="1" applyBorder="1" applyAlignment="1"/>
    <xf numFmtId="3" fontId="5" fillId="9" borderId="14" xfId="3" applyNumberFormat="1" applyFont="1" applyFill="1" applyBorder="1" applyAlignment="1">
      <alignment horizontal="right"/>
    </xf>
    <xf numFmtId="3" fontId="5" fillId="4" borderId="14" xfId="3" applyNumberFormat="1" applyFont="1" applyFill="1" applyBorder="1" applyAlignment="1">
      <alignment horizontal="right"/>
    </xf>
    <xf numFmtId="3" fontId="5" fillId="6" borderId="14" xfId="3" applyNumberFormat="1" applyFont="1" applyFill="1" applyBorder="1" applyAlignment="1">
      <alignment horizontal="right"/>
    </xf>
    <xf numFmtId="0" fontId="10" fillId="7" borderId="15" xfId="3" quotePrefix="1" applyFont="1" applyFill="1" applyBorder="1" applyAlignment="1"/>
    <xf numFmtId="3" fontId="10" fillId="9" borderId="15" xfId="3" applyNumberFormat="1" applyFont="1" applyFill="1" applyBorder="1" applyAlignment="1">
      <alignment horizontal="right"/>
    </xf>
    <xf numFmtId="3" fontId="10" fillId="4" borderId="15" xfId="3" applyNumberFormat="1" applyFont="1" applyFill="1" applyBorder="1" applyAlignment="1">
      <alignment horizontal="right"/>
    </xf>
    <xf numFmtId="3" fontId="10" fillId="6" borderId="15" xfId="3" applyNumberFormat="1" applyFont="1" applyFill="1" applyBorder="1" applyAlignment="1">
      <alignment horizontal="right"/>
    </xf>
    <xf numFmtId="0" fontId="5" fillId="7" borderId="17" xfId="3" quotePrefix="1" applyFont="1" applyFill="1" applyBorder="1" applyAlignment="1"/>
    <xf numFmtId="3" fontId="5" fillId="9" borderId="17" xfId="3" applyNumberFormat="1" applyFont="1" applyFill="1" applyBorder="1" applyAlignment="1">
      <alignment horizontal="right"/>
    </xf>
    <xf numFmtId="3" fontId="5" fillId="4" borderId="17" xfId="3" applyNumberFormat="1" applyFont="1" applyFill="1" applyBorder="1" applyAlignment="1">
      <alignment horizontal="right"/>
    </xf>
    <xf numFmtId="3" fontId="5" fillId="6" borderId="17" xfId="3" applyNumberFormat="1" applyFont="1" applyFill="1" applyBorder="1" applyAlignment="1">
      <alignment horizontal="right"/>
    </xf>
    <xf numFmtId="0" fontId="12" fillId="0" borderId="0" xfId="0" applyFont="1"/>
    <xf numFmtId="0" fontId="5" fillId="10" borderId="0" xfId="4" applyFont="1" applyFill="1" applyBorder="1"/>
    <xf numFmtId="0" fontId="5" fillId="10" borderId="0" xfId="4" applyFont="1" applyFill="1"/>
    <xf numFmtId="0" fontId="10" fillId="7" borderId="24" xfId="3" quotePrefix="1" applyFont="1" applyFill="1" applyBorder="1" applyAlignment="1"/>
    <xf numFmtId="3" fontId="10" fillId="4" borderId="24" xfId="3" applyNumberFormat="1" applyFont="1" applyFill="1" applyBorder="1" applyAlignment="1">
      <alignment horizontal="right"/>
    </xf>
    <xf numFmtId="3" fontId="10" fillId="6" borderId="24" xfId="3" applyNumberFormat="1" applyFont="1" applyFill="1" applyBorder="1" applyAlignment="1">
      <alignment horizontal="right"/>
    </xf>
    <xf numFmtId="0" fontId="10" fillId="7" borderId="16" xfId="3" quotePrefix="1" applyFont="1" applyFill="1" applyBorder="1" applyAlignment="1"/>
    <xf numFmtId="3" fontId="10" fillId="4" borderId="0" xfId="3" applyNumberFormat="1" applyFont="1" applyFill="1" applyBorder="1" applyAlignment="1">
      <alignment horizontal="right"/>
    </xf>
    <xf numFmtId="3" fontId="10" fillId="6" borderId="0" xfId="3" applyNumberFormat="1" applyFont="1" applyFill="1" applyBorder="1" applyAlignment="1">
      <alignment horizontal="right"/>
    </xf>
    <xf numFmtId="0" fontId="5" fillId="10" borderId="16" xfId="4" applyFont="1" applyFill="1" applyBorder="1"/>
    <xf numFmtId="168" fontId="5" fillId="6" borderId="0" xfId="1" applyNumberFormat="1" applyFont="1" applyFill="1" applyBorder="1" applyAlignment="1">
      <alignment horizontal="right"/>
    </xf>
    <xf numFmtId="168" fontId="5" fillId="6" borderId="13" xfId="1" applyNumberFormat="1" applyFont="1" applyFill="1" applyBorder="1" applyAlignment="1">
      <alignment horizontal="right"/>
    </xf>
    <xf numFmtId="165" fontId="5" fillId="4" borderId="0" xfId="1" applyNumberFormat="1" applyFont="1" applyFill="1" applyBorder="1" applyAlignment="1">
      <alignment horizontal="right"/>
    </xf>
    <xf numFmtId="165" fontId="5" fillId="4" borderId="13" xfId="1" applyNumberFormat="1" applyFont="1" applyFill="1" applyBorder="1" applyAlignment="1">
      <alignment horizontal="right"/>
    </xf>
    <xf numFmtId="165" fontId="5" fillId="6" borderId="0" xfId="1" applyNumberFormat="1" applyFont="1" applyFill="1" applyBorder="1" applyAlignment="1">
      <alignment horizontal="right"/>
    </xf>
    <xf numFmtId="165" fontId="5" fillId="6" borderId="13" xfId="1" applyNumberFormat="1" applyFont="1" applyFill="1" applyBorder="1" applyAlignment="1">
      <alignment horizontal="right"/>
    </xf>
    <xf numFmtId="165" fontId="5" fillId="6" borderId="13" xfId="1" quotePrefix="1" applyNumberFormat="1" applyFont="1" applyFill="1" applyBorder="1" applyAlignment="1">
      <alignment horizontal="right"/>
    </xf>
    <xf numFmtId="0" fontId="5" fillId="7" borderId="16" xfId="3" quotePrefix="1" applyFont="1" applyFill="1" applyBorder="1" applyAlignment="1"/>
    <xf numFmtId="165" fontId="10" fillId="9" borderId="13" xfId="3" applyNumberFormat="1" applyFont="1" applyFill="1" applyBorder="1" applyAlignment="1">
      <alignment horizontal="right"/>
    </xf>
    <xf numFmtId="165" fontId="10" fillId="4" borderId="0" xfId="3" applyNumberFormat="1" applyFont="1" applyFill="1" applyBorder="1" applyAlignment="1">
      <alignment horizontal="right"/>
    </xf>
    <xf numFmtId="165" fontId="10" fillId="4" borderId="13" xfId="3" applyNumberFormat="1" applyFont="1" applyFill="1" applyBorder="1" applyAlignment="1">
      <alignment horizontal="right"/>
    </xf>
    <xf numFmtId="165" fontId="10" fillId="6" borderId="0" xfId="3" applyNumberFormat="1" applyFont="1" applyFill="1" applyBorder="1" applyAlignment="1">
      <alignment horizontal="right"/>
    </xf>
    <xf numFmtId="165" fontId="10" fillId="6" borderId="13" xfId="3" applyNumberFormat="1" applyFont="1" applyFill="1" applyBorder="1" applyAlignment="1">
      <alignment horizontal="right"/>
    </xf>
    <xf numFmtId="9" fontId="5" fillId="9" borderId="0" xfId="2" applyFont="1" applyFill="1" applyBorder="1" applyAlignment="1">
      <alignment horizontal="right"/>
    </xf>
    <xf numFmtId="165" fontId="5" fillId="9" borderId="0" xfId="1" quotePrefix="1" applyNumberFormat="1" applyFont="1" applyFill="1" applyBorder="1" applyAlignment="1">
      <alignment horizontal="right"/>
    </xf>
    <xf numFmtId="165" fontId="5" fillId="4" borderId="0" xfId="1" quotePrefix="1" applyNumberFormat="1" applyFont="1" applyFill="1" applyBorder="1" applyAlignment="1">
      <alignment horizontal="right"/>
    </xf>
    <xf numFmtId="165" fontId="5" fillId="6" borderId="0" xfId="1" quotePrefix="1" applyNumberFormat="1" applyFont="1" applyFill="1" applyBorder="1" applyAlignment="1">
      <alignment horizontal="right"/>
    </xf>
    <xf numFmtId="0" fontId="10" fillId="7" borderId="26" xfId="3" quotePrefix="1" applyFont="1" applyFill="1" applyBorder="1" applyAlignment="1"/>
    <xf numFmtId="3" fontId="10" fillId="4" borderId="26" xfId="3" applyNumberFormat="1" applyFont="1" applyFill="1" applyBorder="1" applyAlignment="1">
      <alignment horizontal="right"/>
    </xf>
    <xf numFmtId="3" fontId="10" fillId="6" borderId="26" xfId="3" applyNumberFormat="1" applyFont="1" applyFill="1" applyBorder="1" applyAlignment="1">
      <alignment horizontal="right"/>
    </xf>
    <xf numFmtId="0" fontId="10" fillId="7" borderId="27" xfId="3" quotePrefix="1" applyFont="1" applyFill="1" applyBorder="1"/>
    <xf numFmtId="165" fontId="10" fillId="4" borderId="28" xfId="1" applyNumberFormat="1" applyFont="1" applyFill="1" applyBorder="1" applyAlignment="1">
      <alignment horizontal="right"/>
    </xf>
    <xf numFmtId="165" fontId="10" fillId="4" borderId="26" xfId="1" applyNumberFormat="1" applyFont="1" applyFill="1" applyBorder="1" applyAlignment="1">
      <alignment horizontal="right"/>
    </xf>
    <xf numFmtId="165" fontId="10" fillId="6" borderId="28" xfId="1" applyNumberFormat="1" applyFont="1" applyFill="1" applyBorder="1" applyAlignment="1">
      <alignment horizontal="right"/>
    </xf>
    <xf numFmtId="165" fontId="10" fillId="6" borderId="26" xfId="1" applyNumberFormat="1" applyFont="1" applyFill="1" applyBorder="1" applyAlignment="1">
      <alignment horizontal="right"/>
    </xf>
    <xf numFmtId="165" fontId="10" fillId="6" borderId="26" xfId="1" quotePrefix="1" applyNumberFormat="1" applyFont="1" applyFill="1" applyBorder="1" applyAlignment="1">
      <alignment horizontal="right"/>
    </xf>
    <xf numFmtId="165" fontId="5" fillId="6" borderId="22" xfId="1" applyNumberFormat="1" applyFont="1" applyFill="1" applyBorder="1" applyAlignment="1">
      <alignment horizontal="right"/>
    </xf>
    <xf numFmtId="165" fontId="5" fillId="6" borderId="17" xfId="1" applyNumberFormat="1" applyFont="1" applyFill="1" applyBorder="1" applyAlignment="1">
      <alignment horizontal="right"/>
    </xf>
    <xf numFmtId="165" fontId="5" fillId="6" borderId="17" xfId="1" quotePrefix="1" applyNumberFormat="1" applyFont="1" applyFill="1" applyBorder="1" applyAlignment="1">
      <alignment horizontal="right"/>
    </xf>
    <xf numFmtId="165" fontId="10" fillId="9" borderId="14" xfId="3" applyNumberFormat="1" applyFont="1" applyFill="1" applyBorder="1" applyAlignment="1">
      <alignment horizontal="right"/>
    </xf>
    <xf numFmtId="165" fontId="10" fillId="4" borderId="21" xfId="3" applyNumberFormat="1" applyFont="1" applyFill="1" applyBorder="1" applyAlignment="1">
      <alignment horizontal="right"/>
    </xf>
    <xf numFmtId="165" fontId="10" fillId="4" borderId="14" xfId="3" applyNumberFormat="1" applyFont="1" applyFill="1" applyBorder="1" applyAlignment="1">
      <alignment horizontal="right"/>
    </xf>
    <xf numFmtId="165" fontId="10" fillId="6" borderId="21" xfId="3" applyNumberFormat="1" applyFont="1" applyFill="1" applyBorder="1" applyAlignment="1">
      <alignment horizontal="right"/>
    </xf>
    <xf numFmtId="165" fontId="10" fillId="6" borderId="14" xfId="3" applyNumberFormat="1" applyFont="1" applyFill="1" applyBorder="1" applyAlignment="1">
      <alignment horizontal="right"/>
    </xf>
    <xf numFmtId="3" fontId="5" fillId="9" borderId="13" xfId="2" applyNumberFormat="1" applyFont="1" applyFill="1" applyBorder="1" applyAlignment="1">
      <alignment horizontal="right"/>
    </xf>
    <xf numFmtId="3" fontId="5" fillId="4" borderId="0" xfId="2" applyNumberFormat="1" applyFont="1" applyFill="1" applyBorder="1" applyAlignment="1">
      <alignment horizontal="right"/>
    </xf>
    <xf numFmtId="3" fontId="5" fillId="4" borderId="13" xfId="2" applyNumberFormat="1" applyFont="1" applyFill="1" applyBorder="1" applyAlignment="1">
      <alignment horizontal="right"/>
    </xf>
    <xf numFmtId="3" fontId="5" fillId="6" borderId="0" xfId="2" applyNumberFormat="1" applyFont="1" applyFill="1" applyBorder="1" applyAlignment="1">
      <alignment horizontal="right"/>
    </xf>
    <xf numFmtId="3" fontId="10" fillId="6" borderId="0" xfId="2" applyNumberFormat="1" applyFont="1" applyFill="1" applyBorder="1" applyAlignment="1">
      <alignment horizontal="right"/>
    </xf>
    <xf numFmtId="3" fontId="5" fillId="4" borderId="0" xfId="3" applyNumberFormat="1" applyFont="1" applyFill="1" applyBorder="1" applyAlignment="1">
      <alignment horizontal="right"/>
    </xf>
    <xf numFmtId="3" fontId="5" fillId="6" borderId="0" xfId="1" applyNumberFormat="1" applyFont="1" applyFill="1" applyBorder="1" applyAlignment="1">
      <alignment horizontal="right"/>
    </xf>
    <xf numFmtId="3" fontId="5" fillId="6" borderId="0" xfId="3" applyNumberFormat="1" applyFont="1" applyFill="1" applyBorder="1" applyAlignment="1">
      <alignment horizontal="right"/>
    </xf>
    <xf numFmtId="3" fontId="5" fillId="9" borderId="13" xfId="1" applyNumberFormat="1" applyFont="1" applyFill="1" applyBorder="1" applyAlignment="1">
      <alignment horizontal="right"/>
    </xf>
    <xf numFmtId="3" fontId="5" fillId="4" borderId="0" xfId="1" applyNumberFormat="1" applyFont="1" applyFill="1" applyBorder="1" applyAlignment="1">
      <alignment horizontal="right"/>
    </xf>
    <xf numFmtId="3" fontId="5" fillId="4" borderId="13" xfId="1" applyNumberFormat="1" applyFont="1" applyFill="1" applyBorder="1" applyAlignment="1">
      <alignment horizontal="right"/>
    </xf>
    <xf numFmtId="9" fontId="8" fillId="4" borderId="22" xfId="2" applyFont="1" applyFill="1" applyBorder="1" applyAlignment="1">
      <alignment horizontal="right"/>
    </xf>
    <xf numFmtId="9" fontId="8" fillId="4" borderId="17" xfId="2" applyFont="1" applyFill="1" applyBorder="1" applyAlignment="1">
      <alignment horizontal="right"/>
    </xf>
    <xf numFmtId="9" fontId="8" fillId="6" borderId="22" xfId="2" applyFont="1" applyFill="1" applyBorder="1" applyAlignment="1">
      <alignment horizontal="right"/>
    </xf>
    <xf numFmtId="165" fontId="8" fillId="4" borderId="0" xfId="3" applyNumberFormat="1" applyFont="1" applyFill="1" applyBorder="1" applyAlignment="1">
      <alignment horizontal="right"/>
    </xf>
    <xf numFmtId="165" fontId="8" fillId="4" borderId="13" xfId="3" applyNumberFormat="1" applyFont="1" applyFill="1" applyBorder="1" applyAlignment="1">
      <alignment horizontal="right"/>
    </xf>
    <xf numFmtId="165" fontId="8" fillId="6" borderId="0" xfId="3" applyNumberFormat="1" applyFont="1" applyFill="1" applyBorder="1" applyAlignment="1">
      <alignment horizontal="right"/>
    </xf>
    <xf numFmtId="0" fontId="14" fillId="7" borderId="13" xfId="3" quotePrefix="1" applyFont="1" applyFill="1" applyBorder="1" applyAlignment="1"/>
    <xf numFmtId="3" fontId="5" fillId="6" borderId="13" xfId="2" applyNumberFormat="1" applyFont="1" applyFill="1" applyBorder="1" applyAlignment="1">
      <alignment horizontal="right"/>
    </xf>
    <xf numFmtId="3" fontId="10" fillId="6" borderId="13" xfId="2" applyNumberFormat="1" applyFont="1" applyFill="1" applyBorder="1" applyAlignment="1">
      <alignment horizontal="right"/>
    </xf>
    <xf numFmtId="3" fontId="10" fillId="9" borderId="26" xfId="2" applyNumberFormat="1" applyFont="1" applyFill="1" applyBorder="1" applyAlignment="1">
      <alignment horizontal="right"/>
    </xf>
    <xf numFmtId="3" fontId="10" fillId="4" borderId="28" xfId="2" applyNumberFormat="1" applyFont="1" applyFill="1" applyBorder="1" applyAlignment="1">
      <alignment horizontal="right"/>
    </xf>
    <xf numFmtId="3" fontId="10" fillId="4" borderId="26" xfId="2" applyNumberFormat="1" applyFont="1" applyFill="1" applyBorder="1" applyAlignment="1">
      <alignment horizontal="right"/>
    </xf>
    <xf numFmtId="3" fontId="10" fillId="6" borderId="28" xfId="2" applyNumberFormat="1" applyFont="1" applyFill="1" applyBorder="1" applyAlignment="1">
      <alignment horizontal="right"/>
    </xf>
    <xf numFmtId="3" fontId="10" fillId="6" borderId="26" xfId="2" applyNumberFormat="1" applyFont="1" applyFill="1" applyBorder="1" applyAlignment="1">
      <alignment horizontal="right"/>
    </xf>
    <xf numFmtId="0" fontId="10" fillId="7" borderId="4" xfId="3" applyFont="1" applyFill="1" applyBorder="1" applyAlignment="1"/>
    <xf numFmtId="165" fontId="5" fillId="9" borderId="14" xfId="3" applyNumberFormat="1" applyFont="1" applyFill="1" applyBorder="1" applyAlignment="1">
      <alignment horizontal="right"/>
    </xf>
    <xf numFmtId="165" fontId="5" fillId="4" borderId="14" xfId="3" applyNumberFormat="1" applyFont="1" applyFill="1" applyBorder="1" applyAlignment="1">
      <alignment horizontal="right"/>
    </xf>
    <xf numFmtId="165" fontId="5" fillId="6" borderId="14" xfId="3" applyNumberFormat="1" applyFont="1" applyFill="1" applyBorder="1" applyAlignment="1">
      <alignment horizontal="right"/>
    </xf>
    <xf numFmtId="165" fontId="10" fillId="9" borderId="15" xfId="3" applyNumberFormat="1" applyFont="1" applyFill="1" applyBorder="1" applyAlignment="1">
      <alignment horizontal="right"/>
    </xf>
    <xf numFmtId="165" fontId="10" fillId="4" borderId="15" xfId="3" applyNumberFormat="1" applyFont="1" applyFill="1" applyBorder="1" applyAlignment="1">
      <alignment horizontal="right"/>
    </xf>
    <xf numFmtId="165" fontId="10" fillId="6" borderId="15" xfId="3" applyNumberFormat="1" applyFont="1" applyFill="1" applyBorder="1" applyAlignment="1">
      <alignment horizontal="right"/>
    </xf>
    <xf numFmtId="165" fontId="10" fillId="9" borderId="17" xfId="3" applyNumberFormat="1" applyFont="1" applyFill="1" applyBorder="1" applyAlignment="1">
      <alignment horizontal="right"/>
    </xf>
    <xf numFmtId="165" fontId="10" fillId="4" borderId="17" xfId="3" applyNumberFormat="1" applyFont="1" applyFill="1" applyBorder="1" applyAlignment="1">
      <alignment horizontal="right"/>
    </xf>
    <xf numFmtId="165" fontId="10" fillId="6" borderId="17" xfId="3" applyNumberFormat="1" applyFont="1" applyFill="1" applyBorder="1" applyAlignment="1">
      <alignment horizontal="right"/>
    </xf>
    <xf numFmtId="0" fontId="10" fillId="7" borderId="18" xfId="3" quotePrefix="1" applyFont="1" applyFill="1" applyBorder="1"/>
    <xf numFmtId="165" fontId="10" fillId="4" borderId="19" xfId="3" applyNumberFormat="1" applyFont="1" applyFill="1" applyBorder="1" applyAlignment="1">
      <alignment horizontal="right"/>
    </xf>
    <xf numFmtId="165" fontId="10" fillId="6" borderId="19" xfId="3" applyNumberFormat="1" applyFont="1" applyFill="1" applyBorder="1" applyAlignment="1">
      <alignment horizontal="right"/>
    </xf>
    <xf numFmtId="0" fontId="10" fillId="7" borderId="0" xfId="3" quotePrefix="1" applyFont="1" applyFill="1" applyBorder="1"/>
    <xf numFmtId="0" fontId="10" fillId="7" borderId="18" xfId="3" quotePrefix="1" applyFont="1" applyFill="1" applyBorder="1" applyAlignment="1"/>
    <xf numFmtId="165" fontId="5" fillId="7" borderId="0" xfId="5" applyNumberFormat="1" applyFont="1" applyFill="1" applyBorder="1"/>
    <xf numFmtId="0" fontId="5" fillId="7" borderId="0" xfId="3" quotePrefix="1" applyFont="1" applyFill="1" applyBorder="1" applyAlignment="1"/>
    <xf numFmtId="165" fontId="5" fillId="4" borderId="14" xfId="1" applyNumberFormat="1" applyFont="1" applyFill="1" applyBorder="1" applyAlignment="1">
      <alignment horizontal="right"/>
    </xf>
    <xf numFmtId="0" fontId="5" fillId="7" borderId="0" xfId="4" applyFont="1" applyFill="1"/>
    <xf numFmtId="0" fontId="5" fillId="7" borderId="0" xfId="4" applyFont="1" applyFill="1" applyBorder="1"/>
    <xf numFmtId="0" fontId="5" fillId="7" borderId="13" xfId="3" quotePrefix="1" applyFont="1" applyFill="1" applyBorder="1"/>
    <xf numFmtId="0" fontId="10" fillId="7" borderId="14" xfId="3" quotePrefix="1" applyFont="1" applyFill="1" applyBorder="1" applyAlignment="1"/>
    <xf numFmtId="165" fontId="10" fillId="9" borderId="0" xfId="3" applyNumberFormat="1" applyFont="1" applyFill="1" applyBorder="1" applyAlignment="1">
      <alignment horizontal="right"/>
    </xf>
    <xf numFmtId="165" fontId="5" fillId="9" borderId="0" xfId="3" applyNumberFormat="1" applyFont="1" applyFill="1" applyBorder="1" applyAlignment="1">
      <alignment horizontal="right"/>
    </xf>
    <xf numFmtId="165" fontId="10" fillId="9" borderId="19" xfId="3" applyNumberFormat="1" applyFont="1" applyFill="1" applyBorder="1" applyAlignment="1">
      <alignment horizontal="right"/>
    </xf>
    <xf numFmtId="0" fontId="11" fillId="8" borderId="10" xfId="3" applyFont="1" applyFill="1" applyBorder="1" applyAlignment="1">
      <alignment horizontal="center"/>
    </xf>
    <xf numFmtId="0" fontId="11" fillId="8" borderId="11" xfId="3" applyFont="1" applyFill="1" applyBorder="1" applyAlignment="1">
      <alignment horizontal="center"/>
    </xf>
    <xf numFmtId="165" fontId="5" fillId="9" borderId="0" xfId="1" applyNumberFormat="1" applyFont="1" applyFill="1" applyBorder="1" applyAlignment="1">
      <alignment horizontal="right"/>
    </xf>
    <xf numFmtId="165" fontId="5" fillId="9" borderId="13" xfId="1" applyNumberFormat="1" applyFont="1" applyFill="1" applyBorder="1" applyAlignment="1">
      <alignment horizontal="right"/>
    </xf>
    <xf numFmtId="165" fontId="5" fillId="9" borderId="14" xfId="1" applyNumberFormat="1" applyFont="1" applyFill="1" applyBorder="1" applyAlignment="1">
      <alignment horizontal="right"/>
    </xf>
    <xf numFmtId="3" fontId="6" fillId="9" borderId="0" xfId="3" applyNumberFormat="1" applyFont="1" applyFill="1" applyBorder="1" applyAlignment="1">
      <alignment horizontal="right"/>
    </xf>
    <xf numFmtId="4" fontId="5" fillId="9" borderId="0" xfId="3" applyNumberFormat="1" applyFont="1" applyFill="1" applyBorder="1" applyAlignment="1">
      <alignment horizontal="right"/>
    </xf>
    <xf numFmtId="168" fontId="9" fillId="9" borderId="22" xfId="1" applyNumberFormat="1" applyFont="1" applyFill="1" applyBorder="1" applyAlignment="1">
      <alignment horizontal="right"/>
    </xf>
    <xf numFmtId="168" fontId="9" fillId="9" borderId="0" xfId="1" applyNumberFormat="1" applyFont="1" applyFill="1" applyBorder="1" applyAlignment="1">
      <alignment horizontal="right"/>
    </xf>
    <xf numFmtId="165" fontId="4" fillId="9" borderId="0" xfId="3" applyNumberFormat="1" applyFont="1" applyFill="1" applyBorder="1" applyAlignment="1">
      <alignment horizontal="right"/>
    </xf>
    <xf numFmtId="165" fontId="4" fillId="9" borderId="14" xfId="1" applyNumberFormat="1" applyFont="1" applyFill="1" applyBorder="1" applyAlignment="1">
      <alignment horizontal="right"/>
    </xf>
    <xf numFmtId="3" fontId="10" fillId="9" borderId="24" xfId="3" applyNumberFormat="1" applyFont="1" applyFill="1" applyBorder="1" applyAlignment="1">
      <alignment horizontal="right"/>
    </xf>
    <xf numFmtId="3" fontId="10" fillId="9" borderId="26" xfId="3" applyNumberFormat="1" applyFont="1" applyFill="1" applyBorder="1" applyAlignment="1">
      <alignment horizontal="right"/>
    </xf>
    <xf numFmtId="3" fontId="10" fillId="9" borderId="0" xfId="3" applyNumberFormat="1" applyFont="1" applyFill="1" applyBorder="1" applyAlignment="1">
      <alignment horizontal="right"/>
    </xf>
    <xf numFmtId="3" fontId="5" fillId="9" borderId="0" xfId="2" applyNumberFormat="1" applyFont="1" applyFill="1" applyBorder="1" applyAlignment="1">
      <alignment horizontal="right"/>
    </xf>
    <xf numFmtId="3" fontId="5" fillId="9" borderId="0" xfId="3" applyNumberFormat="1" applyFont="1" applyFill="1" applyBorder="1" applyAlignment="1">
      <alignment horizontal="right"/>
    </xf>
    <xf numFmtId="3" fontId="5" fillId="9" borderId="0" xfId="1" applyNumberFormat="1" applyFont="1" applyFill="1" applyBorder="1" applyAlignment="1">
      <alignment horizontal="right"/>
    </xf>
    <xf numFmtId="165" fontId="10" fillId="9" borderId="26" xfId="1" applyNumberFormat="1" applyFont="1" applyFill="1" applyBorder="1" applyAlignment="1">
      <alignment horizontal="right"/>
    </xf>
    <xf numFmtId="9" fontId="8" fillId="9" borderId="22" xfId="2" applyFont="1" applyFill="1" applyBorder="1" applyAlignment="1">
      <alignment horizontal="right"/>
    </xf>
    <xf numFmtId="9" fontId="8" fillId="9" borderId="17" xfId="2" applyFont="1" applyFill="1" applyBorder="1" applyAlignment="1">
      <alignment horizontal="right"/>
    </xf>
    <xf numFmtId="165" fontId="8" fillId="9" borderId="0" xfId="3" applyNumberFormat="1" applyFont="1" applyFill="1" applyBorder="1" applyAlignment="1">
      <alignment horizontal="right"/>
    </xf>
    <xf numFmtId="165" fontId="8" fillId="9" borderId="13" xfId="3" applyNumberFormat="1" applyFont="1" applyFill="1" applyBorder="1" applyAlignment="1">
      <alignment horizontal="right"/>
    </xf>
    <xf numFmtId="165" fontId="10" fillId="9" borderId="21" xfId="3" applyNumberFormat="1" applyFont="1" applyFill="1" applyBorder="1" applyAlignment="1">
      <alignment horizontal="right"/>
    </xf>
    <xf numFmtId="3" fontId="10" fillId="9" borderId="14" xfId="3" applyNumberFormat="1" applyFont="1" applyFill="1" applyBorder="1" applyAlignment="1">
      <alignment horizontal="right"/>
    </xf>
    <xf numFmtId="3" fontId="10" fillId="4" borderId="14" xfId="3" applyNumberFormat="1" applyFont="1" applyFill="1" applyBorder="1" applyAlignment="1">
      <alignment horizontal="right"/>
    </xf>
    <xf numFmtId="170" fontId="12" fillId="0" borderId="0" xfId="0" applyNumberFormat="1" applyFont="1"/>
    <xf numFmtId="165" fontId="0" fillId="0" borderId="0" xfId="0" applyNumberFormat="1"/>
    <xf numFmtId="0" fontId="5" fillId="7" borderId="23" xfId="3" quotePrefix="1" applyFont="1" applyFill="1" applyBorder="1"/>
    <xf numFmtId="0" fontId="10" fillId="7" borderId="17" xfId="3" quotePrefix="1" applyFont="1" applyFill="1" applyBorder="1" applyAlignment="1"/>
    <xf numFmtId="0" fontId="5" fillId="7" borderId="14" xfId="3" quotePrefix="1" applyFont="1" applyFill="1" applyBorder="1"/>
    <xf numFmtId="4" fontId="5" fillId="9" borderId="14" xfId="3" applyNumberFormat="1" applyFont="1" applyFill="1" applyBorder="1" applyAlignment="1">
      <alignment horizontal="right"/>
    </xf>
    <xf numFmtId="0" fontId="5" fillId="7" borderId="20" xfId="3" quotePrefix="1" applyFont="1" applyFill="1" applyBorder="1" applyAlignment="1"/>
    <xf numFmtId="0" fontId="10" fillId="7" borderId="26" xfId="3" quotePrefix="1" applyFont="1" applyFill="1" applyBorder="1"/>
    <xf numFmtId="0" fontId="8" fillId="7" borderId="17" xfId="3" quotePrefix="1" applyFont="1" applyFill="1" applyBorder="1" applyAlignment="1"/>
    <xf numFmtId="0" fontId="8" fillId="7" borderId="13" xfId="3" quotePrefix="1" applyFont="1" applyFill="1" applyBorder="1" applyAlignment="1"/>
    <xf numFmtId="0" fontId="11" fillId="3" borderId="5" xfId="3" applyFont="1" applyFill="1" applyBorder="1" applyAlignment="1">
      <alignment horizontal="center"/>
    </xf>
    <xf numFmtId="0" fontId="11" fillId="3" borderId="6" xfId="3" applyFont="1" applyFill="1" applyBorder="1" applyAlignment="1">
      <alignment horizontal="center"/>
    </xf>
    <xf numFmtId="0" fontId="11" fillId="3" borderId="7" xfId="3" applyFont="1" applyFill="1" applyBorder="1" applyAlignment="1">
      <alignment horizontal="center"/>
    </xf>
    <xf numFmtId="0" fontId="11" fillId="5" borderId="5" xfId="3" applyFont="1" applyFill="1" applyBorder="1" applyAlignment="1">
      <alignment horizontal="center"/>
    </xf>
    <xf numFmtId="0" fontId="11" fillId="5" borderId="6" xfId="3" applyFont="1" applyFill="1" applyBorder="1" applyAlignment="1">
      <alignment horizontal="center"/>
    </xf>
    <xf numFmtId="0" fontId="11" fillId="5" borderId="8" xfId="3" applyFont="1" applyFill="1" applyBorder="1" applyAlignment="1">
      <alignment horizontal="center"/>
    </xf>
    <xf numFmtId="0" fontId="5" fillId="0" borderId="0" xfId="4" quotePrefix="1" applyFont="1" applyBorder="1" applyAlignment="1">
      <alignment horizontal="left" vertical="center" wrapText="1"/>
    </xf>
    <xf numFmtId="0" fontId="11" fillId="8" borderId="5" xfId="3" applyFont="1" applyFill="1" applyBorder="1" applyAlignment="1">
      <alignment horizontal="center"/>
    </xf>
    <xf numFmtId="0" fontId="11" fillId="8" borderId="6" xfId="3" applyFont="1" applyFill="1" applyBorder="1" applyAlignment="1">
      <alignment horizontal="center"/>
    </xf>
    <xf numFmtId="0" fontId="11" fillId="8" borderId="7" xfId="3" applyFont="1" applyFill="1" applyBorder="1" applyAlignment="1">
      <alignment horizontal="center"/>
    </xf>
    <xf numFmtId="0" fontId="5" fillId="0" borderId="0" xfId="4" quotePrefix="1" applyFont="1" applyBorder="1" applyAlignment="1">
      <alignment horizontal="center" vertical="center" wrapText="1"/>
    </xf>
    <xf numFmtId="0" fontId="5" fillId="0" borderId="22" xfId="0" applyFont="1" applyBorder="1" applyAlignment="1">
      <alignment horizontal="left" vertical="center" wrapText="1"/>
    </xf>
    <xf numFmtId="0" fontId="3" fillId="2" borderId="1" xfId="3" applyFont="1" applyFill="1" applyBorder="1" applyAlignment="1">
      <alignment horizontal="left"/>
    </xf>
    <xf numFmtId="0" fontId="3" fillId="2" borderId="2" xfId="3" applyFont="1" applyFill="1" applyBorder="1" applyAlignment="1">
      <alignment horizontal="left"/>
    </xf>
  </cellXfs>
  <cellStyles count="10">
    <cellStyle name="Comma" xfId="1" builtinId="3"/>
    <cellStyle name="Comma 3" xfId="9"/>
    <cellStyle name="Normal" xfId="0" builtinId="0"/>
    <cellStyle name="Normal 2" xfId="4"/>
    <cellStyle name="Normal_Tables quarterly report 2008" xfId="3"/>
    <cellStyle name="Percent" xfId="2" builtinId="5"/>
    <cellStyle name="Q-Free" xfId="7"/>
    <cellStyle name="Table figures" xfId="6"/>
    <cellStyle name="Tot sum" xfId="8"/>
    <cellStyle name="Tusenskille_Tables quarterly report 2008 2" xfId="5"/>
  </cellStyles>
  <dxfs count="0"/>
  <tableStyles count="0" defaultTableStyle="TableStyleMedium2" defaultPivotStyle="PivotStyleLight16"/>
  <colors>
    <mruColors>
      <color rgb="FFFEB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0"/>
  <sheetViews>
    <sheetView view="pageBreakPreview" zoomScale="80" zoomScaleNormal="100" zoomScaleSheetLayoutView="80" workbookViewId="0">
      <selection activeCell="T20" sqref="T20"/>
    </sheetView>
  </sheetViews>
  <sheetFormatPr defaultRowHeight="14.5"/>
  <cols>
    <col min="1" max="1" width="2.1796875" customWidth="1"/>
    <col min="2" max="2" width="35.26953125" customWidth="1"/>
    <col min="3" max="14" width="10.7265625" customWidth="1"/>
    <col min="15" max="15" width="3" customWidth="1"/>
  </cols>
  <sheetData>
    <row r="1" spans="2:15" ht="15" thickBot="1"/>
    <row r="2" spans="2:15" ht="16" thickBot="1">
      <c r="B2" s="1" t="s">
        <v>0</v>
      </c>
      <c r="C2" s="11"/>
      <c r="D2" s="11"/>
      <c r="E2" s="11"/>
      <c r="F2" s="11"/>
      <c r="G2" s="11"/>
      <c r="H2" s="11"/>
      <c r="I2" s="11"/>
      <c r="J2" s="11"/>
      <c r="K2" s="11"/>
      <c r="L2" s="11"/>
      <c r="M2" s="11"/>
      <c r="N2" s="12"/>
      <c r="O2" s="13"/>
    </row>
    <row r="3" spans="2:15" ht="15" thickBot="1">
      <c r="B3" s="164"/>
      <c r="C3" s="231">
        <v>2016</v>
      </c>
      <c r="D3" s="232"/>
      <c r="E3" s="232"/>
      <c r="F3" s="233"/>
      <c r="G3" s="224">
        <v>2017</v>
      </c>
      <c r="H3" s="225"/>
      <c r="I3" s="225"/>
      <c r="J3" s="226"/>
      <c r="K3" s="227">
        <v>2018</v>
      </c>
      <c r="L3" s="228"/>
      <c r="M3" s="228"/>
      <c r="N3" s="229"/>
      <c r="O3" s="13"/>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13"/>
    </row>
    <row r="5" spans="2:15">
      <c r="B5" s="79" t="s">
        <v>6</v>
      </c>
      <c r="C5" s="32">
        <v>93185.131209488987</v>
      </c>
      <c r="D5" s="32">
        <v>101129.25369083826</v>
      </c>
      <c r="E5" s="32">
        <v>91678.378986098862</v>
      </c>
      <c r="F5" s="32">
        <v>90326.122092874357</v>
      </c>
      <c r="G5" s="34">
        <v>104967</v>
      </c>
      <c r="H5" s="34">
        <v>129394.6</v>
      </c>
      <c r="I5" s="34">
        <v>129781</v>
      </c>
      <c r="J5" s="34">
        <v>152283</v>
      </c>
      <c r="K5" s="36">
        <v>102247.44242903612</v>
      </c>
      <c r="L5" s="36">
        <v>0</v>
      </c>
      <c r="M5" s="36">
        <v>0</v>
      </c>
      <c r="N5" s="36">
        <v>0</v>
      </c>
      <c r="O5" s="13"/>
    </row>
    <row r="6" spans="2:15">
      <c r="B6" s="112" t="s">
        <v>7</v>
      </c>
      <c r="C6" s="32">
        <v>14251.198558923001</v>
      </c>
      <c r="D6" s="32">
        <v>28335.421489283901</v>
      </c>
      <c r="E6" s="32">
        <v>27992.92975956</v>
      </c>
      <c r="F6" s="32">
        <v>13242.909675709001</v>
      </c>
      <c r="G6" s="34">
        <v>15306</v>
      </c>
      <c r="H6" s="34">
        <v>12433</v>
      </c>
      <c r="I6" s="34">
        <v>21725</v>
      </c>
      <c r="J6" s="34">
        <v>19491</v>
      </c>
      <c r="K6" s="36">
        <v>11851.219689747997</v>
      </c>
      <c r="L6" s="36">
        <v>0</v>
      </c>
      <c r="M6" s="36">
        <v>0</v>
      </c>
      <c r="N6" s="36">
        <v>0</v>
      </c>
      <c r="O6" s="13"/>
    </row>
    <row r="7" spans="2:15">
      <c r="B7" s="220" t="s">
        <v>8</v>
      </c>
      <c r="C7" s="165">
        <v>23717.609759999999</v>
      </c>
      <c r="D7" s="165">
        <v>28858.466439999997</v>
      </c>
      <c r="E7" s="165">
        <v>16212.71845</v>
      </c>
      <c r="F7" s="165">
        <v>48507.196879999996</v>
      </c>
      <c r="G7" s="166">
        <v>6162</v>
      </c>
      <c r="H7" s="166">
        <v>2349</v>
      </c>
      <c r="I7" s="166">
        <v>6792</v>
      </c>
      <c r="J7" s="166">
        <v>126</v>
      </c>
      <c r="K7" s="167">
        <v>12338.172272013999</v>
      </c>
      <c r="L7" s="167">
        <v>0</v>
      </c>
      <c r="M7" s="167">
        <v>0</v>
      </c>
      <c r="N7" s="167">
        <v>0</v>
      </c>
      <c r="O7" s="13"/>
    </row>
    <row r="8" spans="2:15">
      <c r="B8" s="178" t="s">
        <v>9</v>
      </c>
      <c r="C8" s="168">
        <f t="shared" ref="C8:F8" si="0">SUM(C5:C7)</f>
        <v>131153.93952841198</v>
      </c>
      <c r="D8" s="168">
        <f t="shared" si="0"/>
        <v>158323.14162012216</v>
      </c>
      <c r="E8" s="168">
        <f t="shared" si="0"/>
        <v>135884.02719565888</v>
      </c>
      <c r="F8" s="168">
        <f t="shared" si="0"/>
        <v>152076.22864858335</v>
      </c>
      <c r="G8" s="169">
        <f t="shared" ref="G8:N8" si="1">SUM(G5:G7)</f>
        <v>126435</v>
      </c>
      <c r="H8" s="169">
        <f t="shared" si="1"/>
        <v>144176.6</v>
      </c>
      <c r="I8" s="169">
        <f t="shared" si="1"/>
        <v>158298</v>
      </c>
      <c r="J8" s="169">
        <f t="shared" si="1"/>
        <v>171900</v>
      </c>
      <c r="K8" s="170">
        <f t="shared" si="1"/>
        <v>126436.83439079812</v>
      </c>
      <c r="L8" s="170">
        <f t="shared" si="1"/>
        <v>0</v>
      </c>
      <c r="M8" s="170">
        <f t="shared" si="1"/>
        <v>0</v>
      </c>
      <c r="N8" s="170">
        <f t="shared" si="1"/>
        <v>0</v>
      </c>
      <c r="O8" s="13"/>
    </row>
    <row r="9" spans="2:15">
      <c r="B9" s="101"/>
      <c r="C9" s="113"/>
      <c r="D9" s="171"/>
      <c r="E9" s="186"/>
      <c r="F9" s="171"/>
      <c r="G9" s="114"/>
      <c r="H9" s="172"/>
      <c r="I9" s="114"/>
      <c r="J9" s="172"/>
      <c r="K9" s="116"/>
      <c r="L9" s="173"/>
      <c r="M9" s="116"/>
      <c r="N9" s="173"/>
      <c r="O9" s="13"/>
    </row>
    <row r="10" spans="2:15">
      <c r="B10" s="47" t="s">
        <v>10</v>
      </c>
      <c r="C10" s="32">
        <v>34627.761167472658</v>
      </c>
      <c r="D10" s="32">
        <v>41709.426306295303</v>
      </c>
      <c r="E10" s="187">
        <v>19609.538978733261</v>
      </c>
      <c r="F10" s="32">
        <v>51750.144253700935</v>
      </c>
      <c r="G10" s="33">
        <v>39746.153772123711</v>
      </c>
      <c r="H10" s="34">
        <v>47762.827945397825</v>
      </c>
      <c r="I10" s="33">
        <v>32481.628795756427</v>
      </c>
      <c r="J10" s="34">
        <v>37347.757864181098</v>
      </c>
      <c r="K10" s="35">
        <v>21780.748371212201</v>
      </c>
      <c r="L10" s="36"/>
      <c r="M10" s="35"/>
      <c r="N10" s="36"/>
      <c r="O10" s="14"/>
    </row>
    <row r="11" spans="2:15">
      <c r="B11" s="47" t="s">
        <v>11</v>
      </c>
      <c r="C11" s="32">
        <v>24168.253060790099</v>
      </c>
      <c r="D11" s="32">
        <v>23749.680847988999</v>
      </c>
      <c r="E11" s="187">
        <v>28536.542434065006</v>
      </c>
      <c r="F11" s="32">
        <v>19358.753141522</v>
      </c>
      <c r="G11" s="33">
        <v>15926.249042283001</v>
      </c>
      <c r="H11" s="34">
        <v>17236.115676463003</v>
      </c>
      <c r="I11" s="33">
        <v>17633.261914661001</v>
      </c>
      <c r="J11" s="34">
        <v>21135.367326899999</v>
      </c>
      <c r="K11" s="35">
        <v>17573.530013435997</v>
      </c>
      <c r="L11" s="36"/>
      <c r="M11" s="35"/>
      <c r="N11" s="36"/>
      <c r="O11" s="14"/>
    </row>
    <row r="12" spans="2:15">
      <c r="B12" s="174" t="s">
        <v>12</v>
      </c>
      <c r="C12" s="168">
        <f t="shared" ref="C12:F12" si="2">C8-C10-C11</f>
        <v>72357.925300149218</v>
      </c>
      <c r="D12" s="168">
        <f t="shared" si="2"/>
        <v>92864.03446583786</v>
      </c>
      <c r="E12" s="188">
        <f t="shared" si="2"/>
        <v>87737.94578286061</v>
      </c>
      <c r="F12" s="168">
        <f t="shared" si="2"/>
        <v>80967.331253360404</v>
      </c>
      <c r="G12" s="175">
        <f t="shared" ref="G12:N12" si="3">G8-G10-G11</f>
        <v>70762.597185593288</v>
      </c>
      <c r="H12" s="169">
        <f t="shared" si="3"/>
        <v>79177.656378139189</v>
      </c>
      <c r="I12" s="175">
        <f t="shared" si="3"/>
        <v>108183.10928958256</v>
      </c>
      <c r="J12" s="169">
        <f t="shared" si="3"/>
        <v>113416.8748089189</v>
      </c>
      <c r="K12" s="176">
        <f t="shared" si="3"/>
        <v>87082.556006149913</v>
      </c>
      <c r="L12" s="170">
        <f t="shared" si="3"/>
        <v>0</v>
      </c>
      <c r="M12" s="176">
        <f t="shared" si="3"/>
        <v>0</v>
      </c>
      <c r="N12" s="170">
        <f t="shared" si="3"/>
        <v>0</v>
      </c>
      <c r="O12" s="14"/>
    </row>
    <row r="13" spans="2:15">
      <c r="B13" s="47" t="s">
        <v>13</v>
      </c>
      <c r="C13" s="48">
        <f t="shared" ref="C13:F13" si="4">C12/C8</f>
        <v>0.55170226346479101</v>
      </c>
      <c r="D13" s="48">
        <f t="shared" si="4"/>
        <v>0.58654744666862557</v>
      </c>
      <c r="E13" s="118">
        <f t="shared" si="4"/>
        <v>0.64568255440742184</v>
      </c>
      <c r="F13" s="48">
        <f t="shared" si="4"/>
        <v>0.53241280358457033</v>
      </c>
      <c r="G13" s="49">
        <f t="shared" ref="G13:N13" si="5">G12/G8</f>
        <v>0.55967570044365311</v>
      </c>
      <c r="H13" s="50">
        <f t="shared" si="5"/>
        <v>0.54917133833187348</v>
      </c>
      <c r="I13" s="49">
        <f t="shared" si="5"/>
        <v>0.68341425216732088</v>
      </c>
      <c r="J13" s="50">
        <f t="shared" si="5"/>
        <v>0.6597840303020297</v>
      </c>
      <c r="K13" s="51">
        <f t="shared" si="5"/>
        <v>0.68874356452954388</v>
      </c>
      <c r="L13" s="52" t="e">
        <f t="shared" si="5"/>
        <v>#DIV/0!</v>
      </c>
      <c r="M13" s="51" t="e">
        <f t="shared" si="5"/>
        <v>#DIV/0!</v>
      </c>
      <c r="N13" s="52" t="e">
        <f t="shared" si="5"/>
        <v>#DIV/0!</v>
      </c>
      <c r="O13" s="14"/>
    </row>
    <row r="14" spans="2:15">
      <c r="B14" s="177"/>
      <c r="C14" s="113"/>
      <c r="D14" s="113"/>
      <c r="E14" s="186"/>
      <c r="F14" s="113"/>
      <c r="G14" s="114"/>
      <c r="H14" s="115"/>
      <c r="I14" s="114"/>
      <c r="J14" s="115"/>
      <c r="K14" s="116"/>
      <c r="L14" s="117"/>
      <c r="M14" s="116"/>
      <c r="N14" s="117"/>
      <c r="O14" s="14"/>
    </row>
    <row r="15" spans="2:15">
      <c r="B15" s="47" t="s">
        <v>14</v>
      </c>
      <c r="C15" s="32">
        <v>46231.091589835778</v>
      </c>
      <c r="D15" s="32">
        <v>59414.001102841605</v>
      </c>
      <c r="E15" s="187">
        <v>63761.049004761517</v>
      </c>
      <c r="F15" s="32">
        <v>49602.587692301371</v>
      </c>
      <c r="G15" s="33">
        <v>58140</v>
      </c>
      <c r="H15" s="34">
        <v>59582</v>
      </c>
      <c r="I15" s="33">
        <f>55921+27823</f>
        <v>83744</v>
      </c>
      <c r="J15" s="34">
        <v>68356</v>
      </c>
      <c r="K15" s="35">
        <v>57287</v>
      </c>
      <c r="L15" s="36"/>
      <c r="M15" s="35"/>
      <c r="N15" s="36"/>
      <c r="O15" s="14"/>
    </row>
    <row r="16" spans="2:15">
      <c r="B16" s="177"/>
      <c r="C16" s="113"/>
      <c r="D16" s="113"/>
      <c r="E16" s="186"/>
      <c r="F16" s="113"/>
      <c r="G16" s="114"/>
      <c r="H16" s="115"/>
      <c r="I16" s="114"/>
      <c r="J16" s="115"/>
      <c r="K16" s="116"/>
      <c r="L16" s="117"/>
      <c r="M16" s="116"/>
      <c r="N16" s="117"/>
      <c r="O16" s="14"/>
    </row>
    <row r="17" spans="2:15">
      <c r="B17" s="178" t="s">
        <v>15</v>
      </c>
      <c r="C17" s="168">
        <f t="shared" ref="C17:F17" si="6">C12-C15</f>
        <v>26126.83371031344</v>
      </c>
      <c r="D17" s="168">
        <f t="shared" si="6"/>
        <v>33450.033362996255</v>
      </c>
      <c r="E17" s="188">
        <f t="shared" si="6"/>
        <v>23976.896778099093</v>
      </c>
      <c r="F17" s="168">
        <f t="shared" si="6"/>
        <v>31364.743561059033</v>
      </c>
      <c r="G17" s="175">
        <f t="shared" ref="G17:N17" si="7">G12-G15</f>
        <v>12622.597185593288</v>
      </c>
      <c r="H17" s="169">
        <f t="shared" si="7"/>
        <v>19595.656378139189</v>
      </c>
      <c r="I17" s="175">
        <f t="shared" si="7"/>
        <v>24439.109289582557</v>
      </c>
      <c r="J17" s="169">
        <f t="shared" si="7"/>
        <v>45060.874808918903</v>
      </c>
      <c r="K17" s="176">
        <f t="shared" si="7"/>
        <v>29795.556006149913</v>
      </c>
      <c r="L17" s="170">
        <f t="shared" si="7"/>
        <v>0</v>
      </c>
      <c r="M17" s="176">
        <f t="shared" si="7"/>
        <v>0</v>
      </c>
      <c r="N17" s="170">
        <f t="shared" si="7"/>
        <v>0</v>
      </c>
      <c r="O17" s="14"/>
    </row>
    <row r="18" spans="2:15">
      <c r="B18" s="47" t="s">
        <v>16</v>
      </c>
      <c r="C18" s="48">
        <f t="shared" ref="C18:F18" si="8">C17/C8</f>
        <v>0.19920738793098597</v>
      </c>
      <c r="D18" s="48">
        <f t="shared" si="8"/>
        <v>0.21127696823535561</v>
      </c>
      <c r="E18" s="118">
        <f t="shared" si="8"/>
        <v>0.17645117879509747</v>
      </c>
      <c r="F18" s="48">
        <f t="shared" si="8"/>
        <v>0.20624356508430031</v>
      </c>
      <c r="G18" s="49">
        <f t="shared" ref="G18:N18" si="9">G17/G8</f>
        <v>9.9834675411027696E-2</v>
      </c>
      <c r="H18" s="50">
        <f t="shared" si="9"/>
        <v>0.13591426332802403</v>
      </c>
      <c r="I18" s="49">
        <f t="shared" si="9"/>
        <v>0.15438672181317867</v>
      </c>
      <c r="J18" s="50">
        <f t="shared" si="9"/>
        <v>0.26213423390877777</v>
      </c>
      <c r="K18" s="51">
        <f t="shared" si="9"/>
        <v>0.2356556627640338</v>
      </c>
      <c r="L18" s="52" t="e">
        <f t="shared" si="9"/>
        <v>#DIV/0!</v>
      </c>
      <c r="M18" s="51" t="e">
        <f t="shared" si="9"/>
        <v>#DIV/0!</v>
      </c>
      <c r="N18" s="52" t="e">
        <f t="shared" si="9"/>
        <v>#DIV/0!</v>
      </c>
      <c r="O18" s="14"/>
    </row>
    <row r="19" spans="2:15">
      <c r="B19" s="179"/>
      <c r="C19" s="32"/>
      <c r="D19" s="32"/>
      <c r="E19" s="187"/>
      <c r="F19" s="32"/>
      <c r="G19" s="33"/>
      <c r="H19" s="34"/>
      <c r="I19" s="33"/>
      <c r="J19" s="34"/>
      <c r="K19" s="35"/>
      <c r="L19" s="36"/>
      <c r="M19" s="35"/>
      <c r="N19" s="36"/>
      <c r="O19" s="14"/>
    </row>
    <row r="20" spans="2:15">
      <c r="B20" s="47" t="s">
        <v>17</v>
      </c>
      <c r="C20" s="192">
        <v>4426.6021142771015</v>
      </c>
      <c r="D20" s="192">
        <v>4422.9622920796</v>
      </c>
      <c r="E20" s="191">
        <v>5129.2833752850001</v>
      </c>
      <c r="F20" s="192">
        <v>5280.7030764909996</v>
      </c>
      <c r="G20" s="107">
        <v>3051.9715509270459</v>
      </c>
      <c r="H20" s="108">
        <v>2675.6562783588042</v>
      </c>
      <c r="I20" s="107">
        <v>2540</v>
      </c>
      <c r="J20" s="108">
        <v>4077</v>
      </c>
      <c r="K20" s="109">
        <v>2251</v>
      </c>
      <c r="L20" s="110"/>
      <c r="M20" s="109"/>
      <c r="N20" s="111"/>
      <c r="O20" s="14"/>
    </row>
    <row r="21" spans="2:15">
      <c r="B21" s="47" t="s">
        <v>18</v>
      </c>
      <c r="C21" s="192"/>
      <c r="D21" s="192"/>
      <c r="E21" s="192"/>
      <c r="F21" s="192"/>
      <c r="G21" s="107">
        <v>0</v>
      </c>
      <c r="H21" s="108">
        <v>0</v>
      </c>
      <c r="I21" s="108">
        <v>0</v>
      </c>
      <c r="J21" s="108">
        <v>0</v>
      </c>
      <c r="K21" s="109">
        <v>0</v>
      </c>
      <c r="L21" s="110"/>
      <c r="M21" s="109"/>
      <c r="N21" s="111"/>
      <c r="O21" s="14"/>
    </row>
    <row r="22" spans="2:15">
      <c r="B22" s="47" t="s">
        <v>19</v>
      </c>
      <c r="C22" s="192"/>
      <c r="D22" s="192"/>
      <c r="E22" s="192"/>
      <c r="F22" s="192"/>
      <c r="G22" s="107">
        <v>0</v>
      </c>
      <c r="H22" s="108">
        <v>0</v>
      </c>
      <c r="I22" s="108">
        <v>0</v>
      </c>
      <c r="J22" s="108">
        <v>0</v>
      </c>
      <c r="K22" s="109">
        <v>0</v>
      </c>
      <c r="L22" s="110"/>
      <c r="M22" s="109"/>
      <c r="N22" s="111"/>
      <c r="O22" s="14"/>
    </row>
    <row r="23" spans="2:15">
      <c r="B23" s="180"/>
      <c r="C23" s="192"/>
      <c r="D23" s="192"/>
      <c r="E23" s="191"/>
      <c r="F23" s="192"/>
      <c r="G23" s="107"/>
      <c r="H23" s="108"/>
      <c r="I23" s="107"/>
      <c r="J23" s="108"/>
      <c r="K23" s="109"/>
      <c r="L23" s="110"/>
      <c r="M23" s="109"/>
      <c r="N23" s="111"/>
      <c r="O23" s="14"/>
    </row>
    <row r="24" spans="2:15">
      <c r="B24" s="178" t="s">
        <v>20</v>
      </c>
      <c r="C24" s="168">
        <f>C17-C20-C21-C22</f>
        <v>21700.231596036338</v>
      </c>
      <c r="D24" s="168">
        <f t="shared" ref="D24:F24" si="10">D17-D20-D21-D22</f>
        <v>29027.071070916656</v>
      </c>
      <c r="E24" s="188">
        <f t="shared" si="10"/>
        <v>18847.613402814095</v>
      </c>
      <c r="F24" s="168">
        <f t="shared" si="10"/>
        <v>26084.040484568031</v>
      </c>
      <c r="G24" s="175">
        <f>G17-G20-G21-G22</f>
        <v>9570.6256346662412</v>
      </c>
      <c r="H24" s="169">
        <f t="shared" ref="H24:N24" si="11">H17-H20-H21-H22</f>
        <v>16920.000099780384</v>
      </c>
      <c r="I24" s="175">
        <f t="shared" si="11"/>
        <v>21899.109289582557</v>
      </c>
      <c r="J24" s="169">
        <f t="shared" si="11"/>
        <v>40983.874808918903</v>
      </c>
      <c r="K24" s="176">
        <f t="shared" si="11"/>
        <v>27544.556006149913</v>
      </c>
      <c r="L24" s="170">
        <f t="shared" si="11"/>
        <v>0</v>
      </c>
      <c r="M24" s="176">
        <f t="shared" si="11"/>
        <v>0</v>
      </c>
      <c r="N24" s="170">
        <f t="shared" si="11"/>
        <v>0</v>
      </c>
      <c r="O24" s="14"/>
    </row>
    <row r="25" spans="2:15">
      <c r="B25" s="47" t="s">
        <v>21</v>
      </c>
      <c r="C25" s="118">
        <f>C24/C8</f>
        <v>0.16545619349341312</v>
      </c>
      <c r="D25" s="118">
        <f t="shared" ref="D25:F25" si="12">D24/D8</f>
        <v>0.18334067132500259</v>
      </c>
      <c r="E25" s="118">
        <f t="shared" si="12"/>
        <v>0.13870367100377065</v>
      </c>
      <c r="F25" s="118">
        <f t="shared" si="12"/>
        <v>0.17151951173672805</v>
      </c>
      <c r="G25" s="49">
        <f>G24/G8</f>
        <v>7.569601482711466E-2</v>
      </c>
      <c r="H25" s="49">
        <f t="shared" ref="H25:N25" si="13">H24/H8</f>
        <v>0.11735607650465042</v>
      </c>
      <c r="I25" s="49">
        <f t="shared" si="13"/>
        <v>0.13834103582851684</v>
      </c>
      <c r="J25" s="49">
        <f t="shared" si="13"/>
        <v>0.2384169564218668</v>
      </c>
      <c r="K25" s="51">
        <f t="shared" si="13"/>
        <v>0.21785230655976123</v>
      </c>
      <c r="L25" s="51" t="e">
        <f t="shared" si="13"/>
        <v>#DIV/0!</v>
      </c>
      <c r="M25" s="51" t="e">
        <f t="shared" si="13"/>
        <v>#DIV/0!</v>
      </c>
      <c r="N25" s="51" t="e">
        <f t="shared" si="13"/>
        <v>#DIV/0!</v>
      </c>
      <c r="O25" s="14"/>
    </row>
    <row r="26" spans="2:15" ht="15.5">
      <c r="B26" s="10"/>
      <c r="C26" s="16"/>
      <c r="D26" s="16"/>
      <c r="E26" s="16"/>
      <c r="F26" s="16"/>
      <c r="G26" s="4"/>
      <c r="H26" s="4"/>
      <c r="I26" s="4"/>
      <c r="J26" s="4"/>
      <c r="K26" s="7"/>
      <c r="L26" s="7"/>
      <c r="M26" s="7"/>
      <c r="N26" s="7"/>
      <c r="O26" s="14"/>
    </row>
    <row r="27" spans="2:15" ht="33" customHeight="1">
      <c r="B27" s="230" t="s">
        <v>22</v>
      </c>
      <c r="C27" s="230"/>
      <c r="D27" s="230"/>
      <c r="E27" s="230"/>
      <c r="F27" s="230"/>
      <c r="G27" s="230"/>
      <c r="H27" s="230"/>
      <c r="I27" s="230"/>
      <c r="J27" s="230"/>
      <c r="K27" s="230"/>
      <c r="L27" s="230"/>
      <c r="M27" s="230"/>
      <c r="N27" s="230"/>
      <c r="O27" s="230"/>
    </row>
    <row r="30" spans="2:15">
      <c r="C30" s="215"/>
      <c r="D30" s="215"/>
      <c r="E30" s="215"/>
      <c r="F30" s="215"/>
      <c r="G30" s="215"/>
      <c r="H30" s="215"/>
      <c r="I30" s="215"/>
      <c r="J30" s="215"/>
      <c r="K30" s="215"/>
    </row>
  </sheetData>
  <mergeCells count="4">
    <mergeCell ref="G3:J3"/>
    <mergeCell ref="K3:N3"/>
    <mergeCell ref="B27:O27"/>
    <mergeCell ref="C3:F3"/>
  </mergeCells>
  <pageMargins left="0.7" right="0.7" top="0.75" bottom="0.75" header="0.3" footer="0.3"/>
  <pageSetup paperSize="9" scale="57"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view="pageBreakPreview" zoomScale="80" zoomScaleNormal="100" zoomScaleSheetLayoutView="80" workbookViewId="0">
      <selection activeCell="H37" sqref="H37"/>
    </sheetView>
  </sheetViews>
  <sheetFormatPr defaultRowHeight="14.5"/>
  <cols>
    <col min="1" max="1" width="2.1796875" customWidth="1"/>
    <col min="2" max="2" width="35.26953125" customWidth="1"/>
    <col min="3" max="14" width="10.7265625" customWidth="1"/>
    <col min="15" max="15" width="3" customWidth="1"/>
  </cols>
  <sheetData>
    <row r="1" spans="2:15" ht="15" thickBot="1"/>
    <row r="2" spans="2:15" ht="16" thickBot="1">
      <c r="B2" s="1" t="s">
        <v>23</v>
      </c>
      <c r="C2" s="11"/>
      <c r="D2" s="11"/>
      <c r="E2" s="11"/>
      <c r="F2" s="11"/>
      <c r="G2" s="11"/>
      <c r="H2" s="11"/>
      <c r="I2" s="11"/>
      <c r="J2" s="11"/>
      <c r="K2" s="11"/>
      <c r="L2" s="11"/>
      <c r="M2" s="11"/>
      <c r="N2" s="12"/>
      <c r="O2" s="13"/>
    </row>
    <row r="3" spans="2:15" ht="15" thickBot="1">
      <c r="B3" s="164"/>
      <c r="C3" s="231">
        <v>2016</v>
      </c>
      <c r="D3" s="232"/>
      <c r="E3" s="232"/>
      <c r="F3" s="233"/>
      <c r="G3" s="224">
        <v>2017</v>
      </c>
      <c r="H3" s="225"/>
      <c r="I3" s="225"/>
      <c r="J3" s="226"/>
      <c r="K3" s="227">
        <v>2018</v>
      </c>
      <c r="L3" s="228"/>
      <c r="M3" s="228"/>
      <c r="N3" s="229"/>
      <c r="O3" s="13"/>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13"/>
    </row>
    <row r="5" spans="2:15">
      <c r="B5" s="79" t="s">
        <v>6</v>
      </c>
      <c r="C5" s="32">
        <v>12592.689278205473</v>
      </c>
      <c r="D5" s="32">
        <v>10208.974646495999</v>
      </c>
      <c r="E5" s="32">
        <v>7394.4452986730003</v>
      </c>
      <c r="F5" s="32">
        <v>12075.451801662</v>
      </c>
      <c r="G5" s="34">
        <v>11120</v>
      </c>
      <c r="H5" s="34">
        <v>5169</v>
      </c>
      <c r="I5" s="34">
        <v>5368</v>
      </c>
      <c r="J5" s="34">
        <v>5235</v>
      </c>
      <c r="K5" s="36">
        <v>4544.1048317960594</v>
      </c>
      <c r="L5" s="36">
        <v>0</v>
      </c>
      <c r="M5" s="36">
        <v>0</v>
      </c>
      <c r="N5" s="36">
        <v>0</v>
      </c>
      <c r="O5" s="13"/>
    </row>
    <row r="6" spans="2:15">
      <c r="B6" s="112" t="s">
        <v>7</v>
      </c>
      <c r="C6" s="32">
        <v>2731.0936893538769</v>
      </c>
      <c r="D6" s="32">
        <v>2152.0723655479997</v>
      </c>
      <c r="E6" s="32">
        <v>365.7368267650001</v>
      </c>
      <c r="F6" s="32">
        <v>5090.0941493270002</v>
      </c>
      <c r="G6" s="34">
        <v>2089</v>
      </c>
      <c r="H6" s="34">
        <v>462</v>
      </c>
      <c r="I6" s="34">
        <v>1995</v>
      </c>
      <c r="J6" s="34">
        <v>2433</v>
      </c>
      <c r="K6" s="36">
        <v>423.14925645</v>
      </c>
      <c r="L6" s="36">
        <v>0</v>
      </c>
      <c r="M6" s="36">
        <v>0</v>
      </c>
      <c r="N6" s="36">
        <v>0</v>
      </c>
      <c r="O6" s="13"/>
    </row>
    <row r="7" spans="2:15">
      <c r="B7" s="220" t="s">
        <v>8</v>
      </c>
      <c r="C7" s="165">
        <v>14021.574000173003</v>
      </c>
      <c r="D7" s="165">
        <v>10546.207784307</v>
      </c>
      <c r="E7" s="165">
        <v>9772.8568092135429</v>
      </c>
      <c r="F7" s="165">
        <v>9885.0988958639991</v>
      </c>
      <c r="G7" s="166">
        <v>9135</v>
      </c>
      <c r="H7" s="166">
        <v>6061</v>
      </c>
      <c r="I7" s="166">
        <v>3341</v>
      </c>
      <c r="J7" s="166">
        <v>3761</v>
      </c>
      <c r="K7" s="167">
        <v>5076.346186969</v>
      </c>
      <c r="L7" s="167">
        <v>0</v>
      </c>
      <c r="M7" s="167">
        <v>0</v>
      </c>
      <c r="N7" s="167">
        <v>0</v>
      </c>
      <c r="O7" s="13"/>
    </row>
    <row r="8" spans="2:15">
      <c r="B8" s="178" t="s">
        <v>9</v>
      </c>
      <c r="C8" s="168">
        <f t="shared" ref="C8:F8" si="0">SUM(C5:C7)</f>
        <v>29345.356967732354</v>
      </c>
      <c r="D8" s="168">
        <f t="shared" si="0"/>
        <v>22907.254796351001</v>
      </c>
      <c r="E8" s="168">
        <f t="shared" si="0"/>
        <v>17533.038934651544</v>
      </c>
      <c r="F8" s="168">
        <f t="shared" si="0"/>
        <v>27050.644846853</v>
      </c>
      <c r="G8" s="169">
        <f t="shared" ref="G8:N8" si="1">SUM(G5:G7)</f>
        <v>22344</v>
      </c>
      <c r="H8" s="169">
        <f t="shared" si="1"/>
        <v>11692</v>
      </c>
      <c r="I8" s="169">
        <f t="shared" si="1"/>
        <v>10704</v>
      </c>
      <c r="J8" s="169">
        <f t="shared" si="1"/>
        <v>11429</v>
      </c>
      <c r="K8" s="170">
        <f t="shared" si="1"/>
        <v>10043.60027521506</v>
      </c>
      <c r="L8" s="170">
        <f t="shared" si="1"/>
        <v>0</v>
      </c>
      <c r="M8" s="170">
        <f t="shared" si="1"/>
        <v>0</v>
      </c>
      <c r="N8" s="170">
        <f t="shared" si="1"/>
        <v>0</v>
      </c>
      <c r="O8" s="13"/>
    </row>
    <row r="9" spans="2:15">
      <c r="B9" s="101"/>
      <c r="C9" s="113"/>
      <c r="D9" s="171"/>
      <c r="E9" s="186"/>
      <c r="F9" s="171"/>
      <c r="G9" s="114"/>
      <c r="H9" s="172"/>
      <c r="I9" s="114"/>
      <c r="J9" s="172"/>
      <c r="K9" s="116"/>
      <c r="L9" s="173"/>
      <c r="M9" s="116"/>
      <c r="N9" s="173"/>
      <c r="O9" s="13"/>
    </row>
    <row r="10" spans="2:15">
      <c r="B10" s="47" t="s">
        <v>10</v>
      </c>
      <c r="C10" s="32">
        <v>10835.524250833878</v>
      </c>
      <c r="D10" s="32">
        <v>4673.4521715417986</v>
      </c>
      <c r="E10" s="187">
        <v>4335.3250578622801</v>
      </c>
      <c r="F10" s="32">
        <v>6568.6248065751752</v>
      </c>
      <c r="G10" s="33">
        <v>7749.3457496216251</v>
      </c>
      <c r="H10" s="34">
        <v>2155.0410831966801</v>
      </c>
      <c r="I10" s="33">
        <v>3205.1682696141597</v>
      </c>
      <c r="J10" s="34">
        <v>4650.5915488680157</v>
      </c>
      <c r="K10" s="35">
        <v>4051.6960860374647</v>
      </c>
      <c r="L10" s="36"/>
      <c r="M10" s="35"/>
      <c r="N10" s="36"/>
      <c r="O10" s="14"/>
    </row>
    <row r="11" spans="2:15">
      <c r="B11" s="47" t="s">
        <v>11</v>
      </c>
      <c r="C11" s="32">
        <v>1796.1796068669521</v>
      </c>
      <c r="D11" s="32">
        <v>1905.5883192609999</v>
      </c>
      <c r="E11" s="187">
        <v>1460.0744655019998</v>
      </c>
      <c r="F11" s="32">
        <v>1352.989201204</v>
      </c>
      <c r="G11" s="33">
        <v>1003.8842700109999</v>
      </c>
      <c r="H11" s="34">
        <v>658.30003921868001</v>
      </c>
      <c r="I11" s="33">
        <v>946.86887446499998</v>
      </c>
      <c r="J11" s="34">
        <v>443.39612578100002</v>
      </c>
      <c r="K11" s="35">
        <v>948.91542444940796</v>
      </c>
      <c r="L11" s="36"/>
      <c r="M11" s="35"/>
      <c r="N11" s="36"/>
      <c r="O11" s="14"/>
    </row>
    <row r="12" spans="2:15">
      <c r="B12" s="174" t="s">
        <v>12</v>
      </c>
      <c r="C12" s="168">
        <f t="shared" ref="C12:F12" si="2">C8-C10-C11</f>
        <v>16713.653110031522</v>
      </c>
      <c r="D12" s="168">
        <f t="shared" si="2"/>
        <v>16328.214305548203</v>
      </c>
      <c r="E12" s="188">
        <f t="shared" si="2"/>
        <v>11737.639411287266</v>
      </c>
      <c r="F12" s="168">
        <f t="shared" si="2"/>
        <v>19129.030839073825</v>
      </c>
      <c r="G12" s="175">
        <f t="shared" ref="G12:N12" si="3">G8-G10-G11</f>
        <v>13590.769980367375</v>
      </c>
      <c r="H12" s="169">
        <f t="shared" si="3"/>
        <v>8878.6588775846394</v>
      </c>
      <c r="I12" s="175">
        <f t="shared" si="3"/>
        <v>6551.9628559208404</v>
      </c>
      <c r="J12" s="169">
        <f t="shared" si="3"/>
        <v>6335.0123253509846</v>
      </c>
      <c r="K12" s="176">
        <f t="shared" si="3"/>
        <v>5042.9887647281867</v>
      </c>
      <c r="L12" s="170">
        <f t="shared" si="3"/>
        <v>0</v>
      </c>
      <c r="M12" s="176">
        <f t="shared" si="3"/>
        <v>0</v>
      </c>
      <c r="N12" s="170">
        <f t="shared" si="3"/>
        <v>0</v>
      </c>
      <c r="O12" s="14"/>
    </row>
    <row r="13" spans="2:15">
      <c r="B13" s="47" t="s">
        <v>13</v>
      </c>
      <c r="C13" s="48">
        <f t="shared" ref="C13:F13" si="4">C12/C8</f>
        <v>0.56955017205650504</v>
      </c>
      <c r="D13" s="48">
        <f t="shared" si="4"/>
        <v>0.71279664240471086</v>
      </c>
      <c r="E13" s="118">
        <f t="shared" si="4"/>
        <v>0.66945835545311549</v>
      </c>
      <c r="F13" s="48">
        <f t="shared" si="4"/>
        <v>0.70715618601229924</v>
      </c>
      <c r="G13" s="49">
        <f t="shared" ref="G13:N13" si="5">G12/G8</f>
        <v>0.60825143127315495</v>
      </c>
      <c r="H13" s="50">
        <f t="shared" si="5"/>
        <v>0.75937896660833382</v>
      </c>
      <c r="I13" s="49">
        <f t="shared" si="5"/>
        <v>0.61210415320635658</v>
      </c>
      <c r="J13" s="50">
        <f t="shared" si="5"/>
        <v>0.55429279248849284</v>
      </c>
      <c r="K13" s="51">
        <f t="shared" si="5"/>
        <v>0.50210966451671168</v>
      </c>
      <c r="L13" s="52" t="e">
        <f t="shared" si="5"/>
        <v>#DIV/0!</v>
      </c>
      <c r="M13" s="51" t="e">
        <f t="shared" si="5"/>
        <v>#DIV/0!</v>
      </c>
      <c r="N13" s="52" t="e">
        <f t="shared" si="5"/>
        <v>#DIV/0!</v>
      </c>
      <c r="O13" s="14"/>
    </row>
    <row r="14" spans="2:15">
      <c r="B14" s="177"/>
      <c r="C14" s="113"/>
      <c r="D14" s="113"/>
      <c r="E14" s="186"/>
      <c r="F14" s="113"/>
      <c r="G14" s="114"/>
      <c r="H14" s="115"/>
      <c r="I14" s="114"/>
      <c r="J14" s="115"/>
      <c r="K14" s="116"/>
      <c r="L14" s="117"/>
      <c r="M14" s="116"/>
      <c r="N14" s="117"/>
      <c r="O14" s="14"/>
    </row>
    <row r="15" spans="2:15">
      <c r="B15" s="47" t="s">
        <v>14</v>
      </c>
      <c r="C15" s="32">
        <v>15328.524381716346</v>
      </c>
      <c r="D15" s="32">
        <v>20181.753216212903</v>
      </c>
      <c r="E15" s="187">
        <v>18188.290012473462</v>
      </c>
      <c r="F15" s="32">
        <v>22076.565297503286</v>
      </c>
      <c r="G15" s="33">
        <v>9724</v>
      </c>
      <c r="H15" s="34">
        <v>9721</v>
      </c>
      <c r="I15" s="33">
        <v>12080</v>
      </c>
      <c r="J15" s="34">
        <v>10124</v>
      </c>
      <c r="K15" s="35">
        <v>10511</v>
      </c>
      <c r="L15" s="36"/>
      <c r="M15" s="35"/>
      <c r="N15" s="36"/>
      <c r="O15" s="14"/>
    </row>
    <row r="16" spans="2:15">
      <c r="B16" s="177"/>
      <c r="C16" s="113"/>
      <c r="D16" s="113"/>
      <c r="E16" s="186"/>
      <c r="F16" s="113"/>
      <c r="G16" s="114"/>
      <c r="H16" s="115"/>
      <c r="I16" s="114"/>
      <c r="J16" s="115"/>
      <c r="K16" s="116"/>
      <c r="L16" s="117"/>
      <c r="M16" s="116"/>
      <c r="N16" s="117"/>
      <c r="O16" s="14"/>
    </row>
    <row r="17" spans="2:15">
      <c r="B17" s="178" t="s">
        <v>15</v>
      </c>
      <c r="C17" s="168">
        <f t="shared" ref="C17:F17" si="6">C12-C15</f>
        <v>1385.128728315176</v>
      </c>
      <c r="D17" s="168">
        <f t="shared" si="6"/>
        <v>-3853.5389106646999</v>
      </c>
      <c r="E17" s="188">
        <f t="shared" si="6"/>
        <v>-6450.6506011861966</v>
      </c>
      <c r="F17" s="168">
        <f t="shared" si="6"/>
        <v>-2947.5344584294617</v>
      </c>
      <c r="G17" s="175">
        <f t="shared" ref="G17:N17" si="7">G12-G15</f>
        <v>3866.769980367375</v>
      </c>
      <c r="H17" s="169">
        <f t="shared" si="7"/>
        <v>-842.34112241536059</v>
      </c>
      <c r="I17" s="175">
        <f t="shared" si="7"/>
        <v>-5528.0371440791596</v>
      </c>
      <c r="J17" s="169">
        <f t="shared" si="7"/>
        <v>-3788.9876746490154</v>
      </c>
      <c r="K17" s="176">
        <f t="shared" si="7"/>
        <v>-5468.0112352718133</v>
      </c>
      <c r="L17" s="170">
        <f t="shared" si="7"/>
        <v>0</v>
      </c>
      <c r="M17" s="176">
        <f t="shared" si="7"/>
        <v>0</v>
      </c>
      <c r="N17" s="170">
        <f t="shared" si="7"/>
        <v>0</v>
      </c>
      <c r="O17" s="14"/>
    </row>
    <row r="18" spans="2:15">
      <c r="B18" s="47" t="s">
        <v>16</v>
      </c>
      <c r="C18" s="48">
        <f t="shared" ref="C18:F18" si="8">C17/C8</f>
        <v>4.7200950045972842E-2</v>
      </c>
      <c r="D18" s="48">
        <f t="shared" si="8"/>
        <v>-0.16822351455568335</v>
      </c>
      <c r="E18" s="118">
        <f t="shared" si="8"/>
        <v>-0.36791400653525091</v>
      </c>
      <c r="F18" s="48">
        <f t="shared" si="8"/>
        <v>-0.10896355614133797</v>
      </c>
      <c r="G18" s="49">
        <f t="shared" ref="G18:N18" si="9">G17/G8</f>
        <v>0.17305630058930249</v>
      </c>
      <c r="H18" s="50">
        <f t="shared" si="9"/>
        <v>-7.2044228738912128E-2</v>
      </c>
      <c r="I18" s="49">
        <f t="shared" si="9"/>
        <v>-0.51644592153205904</v>
      </c>
      <c r="J18" s="50">
        <f t="shared" si="9"/>
        <v>-0.33152398938218702</v>
      </c>
      <c r="K18" s="51">
        <f t="shared" si="9"/>
        <v>-0.54442740505766785</v>
      </c>
      <c r="L18" s="52" t="e">
        <f t="shared" si="9"/>
        <v>#DIV/0!</v>
      </c>
      <c r="M18" s="51" t="e">
        <f t="shared" si="9"/>
        <v>#DIV/0!</v>
      </c>
      <c r="N18" s="52" t="e">
        <f t="shared" si="9"/>
        <v>#DIV/0!</v>
      </c>
      <c r="O18" s="14"/>
    </row>
    <row r="19" spans="2:15">
      <c r="B19" s="179"/>
      <c r="C19" s="32"/>
      <c r="D19" s="32"/>
      <c r="E19" s="187"/>
      <c r="F19" s="32"/>
      <c r="G19" s="33"/>
      <c r="H19" s="34"/>
      <c r="I19" s="33"/>
      <c r="J19" s="34"/>
      <c r="K19" s="35"/>
      <c r="L19" s="36"/>
      <c r="M19" s="35"/>
      <c r="N19" s="36"/>
      <c r="O19" s="14"/>
    </row>
    <row r="20" spans="2:15">
      <c r="B20" s="47" t="s">
        <v>17</v>
      </c>
      <c r="C20" s="192">
        <v>446.39651326399996</v>
      </c>
      <c r="D20" s="192">
        <v>472.01345893100006</v>
      </c>
      <c r="E20" s="192">
        <v>413.23002636299975</v>
      </c>
      <c r="F20" s="192">
        <v>2265.7074155089999</v>
      </c>
      <c r="G20" s="107">
        <v>1503</v>
      </c>
      <c r="H20" s="108">
        <v>1510</v>
      </c>
      <c r="I20" s="108">
        <v>1418</v>
      </c>
      <c r="J20" s="108">
        <v>1473</v>
      </c>
      <c r="K20" s="109">
        <v>786</v>
      </c>
      <c r="L20" s="110"/>
      <c r="M20" s="109"/>
      <c r="N20" s="111"/>
      <c r="O20" s="14"/>
    </row>
    <row r="21" spans="2:15">
      <c r="B21" s="47" t="s">
        <v>18</v>
      </c>
      <c r="C21" s="192">
        <v>951.49699999999996</v>
      </c>
      <c r="D21" s="192">
        <v>916.37699999999995</v>
      </c>
      <c r="E21" s="192">
        <v>919.97900000000004</v>
      </c>
      <c r="F21" s="192">
        <v>914.95500000000004</v>
      </c>
      <c r="G21" s="107">
        <v>596</v>
      </c>
      <c r="H21" s="108">
        <v>602</v>
      </c>
      <c r="I21" s="108">
        <v>563</v>
      </c>
      <c r="J21" s="108">
        <v>577</v>
      </c>
      <c r="K21" s="109">
        <v>554</v>
      </c>
      <c r="L21" s="110"/>
      <c r="M21" s="109"/>
      <c r="N21" s="111"/>
      <c r="O21" s="14"/>
    </row>
    <row r="22" spans="2:15">
      <c r="B22" s="47" t="s">
        <v>19</v>
      </c>
      <c r="C22" s="192"/>
      <c r="D22" s="192"/>
      <c r="E22" s="192"/>
      <c r="F22" s="192"/>
      <c r="G22" s="107">
        <v>0</v>
      </c>
      <c r="H22" s="108">
        <v>0</v>
      </c>
      <c r="I22" s="108">
        <v>0</v>
      </c>
      <c r="J22" s="108">
        <v>7844</v>
      </c>
      <c r="K22" s="109">
        <v>0</v>
      </c>
      <c r="L22" s="110"/>
      <c r="M22" s="109"/>
      <c r="N22" s="111"/>
      <c r="O22" s="14"/>
    </row>
    <row r="23" spans="2:15">
      <c r="B23" s="180"/>
      <c r="C23" s="192"/>
      <c r="D23" s="193"/>
      <c r="E23" s="193"/>
      <c r="F23" s="193"/>
      <c r="G23" s="107"/>
      <c r="H23" s="181"/>
      <c r="I23" s="181"/>
      <c r="J23" s="181"/>
      <c r="K23" s="109"/>
      <c r="L23" s="110"/>
      <c r="M23" s="109"/>
      <c r="N23" s="111"/>
      <c r="O23" s="14"/>
    </row>
    <row r="24" spans="2:15">
      <c r="B24" s="178" t="s">
        <v>20</v>
      </c>
      <c r="C24" s="168">
        <f>C17-C20-C21-C22</f>
        <v>-12.764784948823944</v>
      </c>
      <c r="D24" s="168">
        <f t="shared" ref="D24:F24" si="10">D17-D20-D21-D22</f>
        <v>-5241.9293695957003</v>
      </c>
      <c r="E24" s="188">
        <f t="shared" si="10"/>
        <v>-7783.8596275491964</v>
      </c>
      <c r="F24" s="168">
        <f t="shared" si="10"/>
        <v>-6128.1968739384611</v>
      </c>
      <c r="G24" s="175">
        <f>G17-G20-G21-G22</f>
        <v>1767.769980367375</v>
      </c>
      <c r="H24" s="169">
        <f t="shared" ref="H24:N24" si="11">H17-H20-H21-H22</f>
        <v>-2954.3411224153606</v>
      </c>
      <c r="I24" s="175">
        <f t="shared" si="11"/>
        <v>-7509.0371440791596</v>
      </c>
      <c r="J24" s="169">
        <f t="shared" si="11"/>
        <v>-13682.987674649015</v>
      </c>
      <c r="K24" s="176">
        <f t="shared" si="11"/>
        <v>-6808.0112352718133</v>
      </c>
      <c r="L24" s="170">
        <f t="shared" si="11"/>
        <v>0</v>
      </c>
      <c r="M24" s="176">
        <f t="shared" si="11"/>
        <v>0</v>
      </c>
      <c r="N24" s="170">
        <f t="shared" si="11"/>
        <v>0</v>
      </c>
      <c r="O24" s="14"/>
    </row>
    <row r="25" spans="2:15">
      <c r="B25" s="47" t="s">
        <v>21</v>
      </c>
      <c r="C25" s="118">
        <f>C24/C8</f>
        <v>-4.3498482444292232E-4</v>
      </c>
      <c r="D25" s="118">
        <f t="shared" ref="D25:F25" si="12">D24/D8</f>
        <v>-0.22883271767818772</v>
      </c>
      <c r="E25" s="118">
        <f t="shared" si="12"/>
        <v>-0.44395382092978253</v>
      </c>
      <c r="F25" s="118">
        <f t="shared" si="12"/>
        <v>-0.22654531559721391</v>
      </c>
      <c r="G25" s="49">
        <f>G24/G8</f>
        <v>7.9116092927290327E-2</v>
      </c>
      <c r="H25" s="49">
        <f t="shared" ref="H25:N25" si="13">H24/H8</f>
        <v>-0.25268056127397887</v>
      </c>
      <c r="I25" s="49">
        <f t="shared" si="13"/>
        <v>-0.70151692302682733</v>
      </c>
      <c r="J25" s="49">
        <f t="shared" si="13"/>
        <v>-1.1972165259120671</v>
      </c>
      <c r="K25" s="51">
        <f t="shared" si="13"/>
        <v>-0.67784569763017932</v>
      </c>
      <c r="L25" s="51" t="e">
        <f t="shared" si="13"/>
        <v>#DIV/0!</v>
      </c>
      <c r="M25" s="51" t="e">
        <f t="shared" si="13"/>
        <v>#DIV/0!</v>
      </c>
      <c r="N25" s="51" t="e">
        <f t="shared" si="13"/>
        <v>#DIV/0!</v>
      </c>
      <c r="O25" s="14"/>
    </row>
    <row r="26" spans="2:15" ht="15.5">
      <c r="B26" s="10"/>
      <c r="C26" s="16"/>
      <c r="D26" s="16"/>
      <c r="E26" s="16"/>
      <c r="F26" s="16"/>
      <c r="G26" s="4"/>
      <c r="H26" s="4"/>
      <c r="I26" s="4"/>
      <c r="J26" s="4"/>
      <c r="K26" s="7"/>
      <c r="L26" s="7"/>
      <c r="M26" s="7"/>
      <c r="N26" s="7"/>
      <c r="O26" s="14"/>
    </row>
    <row r="27" spans="2:15" ht="33" customHeight="1">
      <c r="B27" s="230" t="s">
        <v>22</v>
      </c>
      <c r="C27" s="230"/>
      <c r="D27" s="230"/>
      <c r="E27" s="230"/>
      <c r="F27" s="230"/>
      <c r="G27" s="230"/>
      <c r="H27" s="230"/>
      <c r="I27" s="230"/>
      <c r="J27" s="230"/>
      <c r="K27" s="230"/>
      <c r="L27" s="230"/>
      <c r="M27" s="230"/>
      <c r="N27" s="230"/>
      <c r="O27" s="230"/>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view="pageBreakPreview" zoomScale="80" zoomScaleNormal="100" zoomScaleSheetLayoutView="80" workbookViewId="0">
      <selection activeCell="F38" sqref="F38"/>
    </sheetView>
  </sheetViews>
  <sheetFormatPr defaultRowHeight="14.5"/>
  <cols>
    <col min="1" max="1" width="2.1796875" customWidth="1"/>
    <col min="2" max="2" width="35.26953125" customWidth="1"/>
    <col min="3" max="14" width="10.7265625" customWidth="1"/>
    <col min="15" max="15" width="3" customWidth="1"/>
  </cols>
  <sheetData>
    <row r="1" spans="2:15" ht="15" thickBot="1"/>
    <row r="2" spans="2:15" ht="16" thickBot="1">
      <c r="B2" s="1" t="s">
        <v>24</v>
      </c>
      <c r="C2" s="11"/>
      <c r="D2" s="11"/>
      <c r="E2" s="11"/>
      <c r="F2" s="11"/>
      <c r="G2" s="11"/>
      <c r="H2" s="11"/>
      <c r="I2" s="11"/>
      <c r="J2" s="11"/>
      <c r="K2" s="11"/>
      <c r="L2" s="11"/>
      <c r="M2" s="11"/>
      <c r="N2" s="12"/>
      <c r="O2" s="13"/>
    </row>
    <row r="3" spans="2:15" ht="15" thickBot="1">
      <c r="B3" s="164"/>
      <c r="C3" s="231">
        <v>2016</v>
      </c>
      <c r="D3" s="232"/>
      <c r="E3" s="232"/>
      <c r="F3" s="233"/>
      <c r="G3" s="224">
        <v>2017</v>
      </c>
      <c r="H3" s="225"/>
      <c r="I3" s="225"/>
      <c r="J3" s="226"/>
      <c r="K3" s="227">
        <v>2018</v>
      </c>
      <c r="L3" s="228"/>
      <c r="M3" s="228"/>
      <c r="N3" s="229"/>
      <c r="O3" s="182"/>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182"/>
    </row>
    <row r="5" spans="2:15">
      <c r="B5" s="79" t="s">
        <v>6</v>
      </c>
      <c r="C5" s="32">
        <v>12591.320657460001</v>
      </c>
      <c r="D5" s="32">
        <v>9556.2885634330014</v>
      </c>
      <c r="E5" s="32">
        <v>6977.3335994020008</v>
      </c>
      <c r="F5" s="32">
        <v>16364.844751011002</v>
      </c>
      <c r="G5" s="34">
        <v>12948</v>
      </c>
      <c r="H5" s="34">
        <v>10546.8</v>
      </c>
      <c r="I5" s="34">
        <v>11857</v>
      </c>
      <c r="J5" s="34">
        <v>10719.4</v>
      </c>
      <c r="K5" s="36">
        <v>19614.907258619223</v>
      </c>
      <c r="L5" s="36"/>
      <c r="M5" s="36"/>
      <c r="N5" s="36"/>
      <c r="O5" s="182"/>
    </row>
    <row r="6" spans="2:15">
      <c r="B6" s="112" t="s">
        <v>7</v>
      </c>
      <c r="C6" s="32">
        <v>2608.3499262589999</v>
      </c>
      <c r="D6" s="32">
        <v>423.72947216</v>
      </c>
      <c r="E6" s="32">
        <v>751.83378346699999</v>
      </c>
      <c r="F6" s="32">
        <v>1490.5906587929999</v>
      </c>
      <c r="G6" s="34">
        <v>3488</v>
      </c>
      <c r="H6" s="34">
        <v>3686</v>
      </c>
      <c r="I6" s="34">
        <v>530</v>
      </c>
      <c r="J6" s="34">
        <v>2842</v>
      </c>
      <c r="K6" s="36">
        <v>295.27372200000002</v>
      </c>
      <c r="L6" s="36"/>
      <c r="M6" s="36"/>
      <c r="N6" s="36"/>
      <c r="O6" s="182"/>
    </row>
    <row r="7" spans="2:15">
      <c r="B7" s="220" t="s">
        <v>8</v>
      </c>
      <c r="C7" s="165">
        <v>0</v>
      </c>
      <c r="D7" s="165">
        <v>0</v>
      </c>
      <c r="E7" s="165">
        <v>0</v>
      </c>
      <c r="F7" s="165">
        <v>736.91955134099999</v>
      </c>
      <c r="G7" s="166">
        <v>1212</v>
      </c>
      <c r="H7" s="166">
        <v>2044</v>
      </c>
      <c r="I7" s="166">
        <v>1898</v>
      </c>
      <c r="J7" s="166">
        <v>2237</v>
      </c>
      <c r="K7" s="167">
        <v>0.153</v>
      </c>
      <c r="L7" s="167"/>
      <c r="M7" s="167"/>
      <c r="N7" s="167"/>
      <c r="O7" s="182"/>
    </row>
    <row r="8" spans="2:15">
      <c r="B8" s="178" t="s">
        <v>9</v>
      </c>
      <c r="C8" s="168">
        <f t="shared" ref="C8:F8" si="0">SUM(C5:C7)</f>
        <v>15199.670583719</v>
      </c>
      <c r="D8" s="168">
        <f t="shared" si="0"/>
        <v>9980.0180355930006</v>
      </c>
      <c r="E8" s="168">
        <f t="shared" si="0"/>
        <v>7729.1673828690009</v>
      </c>
      <c r="F8" s="168">
        <f t="shared" si="0"/>
        <v>18592.354961145003</v>
      </c>
      <c r="G8" s="169">
        <f t="shared" ref="G8:N8" si="1">SUM(G5:G7)</f>
        <v>17648</v>
      </c>
      <c r="H8" s="169">
        <f t="shared" si="1"/>
        <v>16276.8</v>
      </c>
      <c r="I8" s="169">
        <f t="shared" si="1"/>
        <v>14285</v>
      </c>
      <c r="J8" s="169">
        <f t="shared" si="1"/>
        <v>15798.4</v>
      </c>
      <c r="K8" s="170">
        <f t="shared" si="1"/>
        <v>19910.333980619223</v>
      </c>
      <c r="L8" s="170">
        <f t="shared" si="1"/>
        <v>0</v>
      </c>
      <c r="M8" s="170">
        <f t="shared" si="1"/>
        <v>0</v>
      </c>
      <c r="N8" s="170">
        <f t="shared" si="1"/>
        <v>0</v>
      </c>
      <c r="O8" s="182"/>
    </row>
    <row r="9" spans="2:15">
      <c r="B9" s="101"/>
      <c r="C9" s="113"/>
      <c r="D9" s="171"/>
      <c r="E9" s="186"/>
      <c r="F9" s="171"/>
      <c r="G9" s="114"/>
      <c r="H9" s="172"/>
      <c r="I9" s="114"/>
      <c r="J9" s="172"/>
      <c r="K9" s="116"/>
      <c r="L9" s="173"/>
      <c r="M9" s="116"/>
      <c r="N9" s="173"/>
      <c r="O9" s="182"/>
    </row>
    <row r="10" spans="2:15">
      <c r="B10" s="47" t="s">
        <v>10</v>
      </c>
      <c r="C10" s="32">
        <v>2808.7741602600008</v>
      </c>
      <c r="D10" s="32">
        <v>6539.8617930640003</v>
      </c>
      <c r="E10" s="187">
        <v>7656.5154792310022</v>
      </c>
      <c r="F10" s="32">
        <v>23246.880785902991</v>
      </c>
      <c r="G10" s="33">
        <v>5919.9565808089992</v>
      </c>
      <c r="H10" s="34">
        <v>7175.0448397289974</v>
      </c>
      <c r="I10" s="33">
        <v>6515.2806924239994</v>
      </c>
      <c r="J10" s="34">
        <v>4898.2728314490014</v>
      </c>
      <c r="K10" s="35">
        <v>6888.4399716620001</v>
      </c>
      <c r="L10" s="36"/>
      <c r="M10" s="35"/>
      <c r="N10" s="36"/>
      <c r="O10" s="183"/>
    </row>
    <row r="11" spans="2:15">
      <c r="B11" s="47" t="s">
        <v>11</v>
      </c>
      <c r="C11" s="32">
        <v>651.91203526000004</v>
      </c>
      <c r="D11" s="32">
        <v>749.05751772000008</v>
      </c>
      <c r="E11" s="187">
        <v>641.49486601400008</v>
      </c>
      <c r="F11" s="32">
        <v>346.32829276799998</v>
      </c>
      <c r="G11" s="33">
        <v>323.71837895499993</v>
      </c>
      <c r="H11" s="34">
        <v>158.66967282600001</v>
      </c>
      <c r="I11" s="33">
        <v>269.57432492199996</v>
      </c>
      <c r="J11" s="34">
        <v>318.42680625600002</v>
      </c>
      <c r="K11" s="35">
        <v>344.94168989099995</v>
      </c>
      <c r="L11" s="36"/>
      <c r="M11" s="35"/>
      <c r="N11" s="36"/>
      <c r="O11" s="183"/>
    </row>
    <row r="12" spans="2:15">
      <c r="B12" s="174" t="s">
        <v>12</v>
      </c>
      <c r="C12" s="168">
        <f t="shared" ref="C12:F12" si="2">C8-C10-C11</f>
        <v>11738.984388198998</v>
      </c>
      <c r="D12" s="168">
        <f t="shared" si="2"/>
        <v>2691.0987248090005</v>
      </c>
      <c r="E12" s="188">
        <f t="shared" si="2"/>
        <v>-568.84296237600142</v>
      </c>
      <c r="F12" s="168">
        <f t="shared" si="2"/>
        <v>-5000.8541175259879</v>
      </c>
      <c r="G12" s="175">
        <f t="shared" ref="G12:N12" si="3">G8-G10-G11</f>
        <v>11404.325040236001</v>
      </c>
      <c r="H12" s="169">
        <f t="shared" si="3"/>
        <v>8943.0854874450015</v>
      </c>
      <c r="I12" s="175">
        <f t="shared" si="3"/>
        <v>7500.1449826540011</v>
      </c>
      <c r="J12" s="169">
        <f t="shared" si="3"/>
        <v>10581.700362294998</v>
      </c>
      <c r="K12" s="176">
        <f t="shared" si="3"/>
        <v>12676.952319066224</v>
      </c>
      <c r="L12" s="170">
        <f t="shared" si="3"/>
        <v>0</v>
      </c>
      <c r="M12" s="176">
        <f t="shared" si="3"/>
        <v>0</v>
      </c>
      <c r="N12" s="170">
        <f t="shared" si="3"/>
        <v>0</v>
      </c>
      <c r="O12" s="183"/>
    </row>
    <row r="13" spans="2:15">
      <c r="B13" s="47" t="s">
        <v>13</v>
      </c>
      <c r="C13" s="48">
        <f t="shared" ref="C13:F13" si="4">C12/C8</f>
        <v>0.77231834226546414</v>
      </c>
      <c r="D13" s="48">
        <f t="shared" si="4"/>
        <v>0.26964868352055021</v>
      </c>
      <c r="E13" s="118">
        <f t="shared" si="4"/>
        <v>-7.3596926317935657E-2</v>
      </c>
      <c r="F13" s="48">
        <f t="shared" si="4"/>
        <v>-0.26897367912655279</v>
      </c>
      <c r="G13" s="49">
        <f t="shared" ref="G13:N13" si="5">G12/G8</f>
        <v>0.64621062104691751</v>
      </c>
      <c r="H13" s="50">
        <f t="shared" si="5"/>
        <v>0.54943757295322193</v>
      </c>
      <c r="I13" s="49">
        <f t="shared" si="5"/>
        <v>0.52503640060581036</v>
      </c>
      <c r="J13" s="50">
        <f t="shared" si="5"/>
        <v>0.66979569844382958</v>
      </c>
      <c r="K13" s="51">
        <f t="shared" si="5"/>
        <v>0.6367021432893093</v>
      </c>
      <c r="L13" s="52" t="e">
        <f t="shared" si="5"/>
        <v>#DIV/0!</v>
      </c>
      <c r="M13" s="51" t="e">
        <f t="shared" si="5"/>
        <v>#DIV/0!</v>
      </c>
      <c r="N13" s="52" t="e">
        <f t="shared" si="5"/>
        <v>#DIV/0!</v>
      </c>
      <c r="O13" s="183"/>
    </row>
    <row r="14" spans="2:15">
      <c r="B14" s="177"/>
      <c r="C14" s="113"/>
      <c r="D14" s="113"/>
      <c r="E14" s="186"/>
      <c r="F14" s="113"/>
      <c r="G14" s="114"/>
      <c r="H14" s="115"/>
      <c r="I14" s="114"/>
      <c r="J14" s="115"/>
      <c r="K14" s="116"/>
      <c r="L14" s="117"/>
      <c r="M14" s="116"/>
      <c r="N14" s="117"/>
      <c r="O14" s="183"/>
    </row>
    <row r="15" spans="2:15">
      <c r="B15" s="47" t="s">
        <v>14</v>
      </c>
      <c r="C15" s="32">
        <v>11290.965234814135</v>
      </c>
      <c r="D15" s="32">
        <v>3287.0672896049055</v>
      </c>
      <c r="E15" s="187">
        <v>9241.9338214282379</v>
      </c>
      <c r="F15" s="32">
        <v>7871.5756093561149</v>
      </c>
      <c r="G15" s="33">
        <v>7184</v>
      </c>
      <c r="H15" s="34">
        <v>6165</v>
      </c>
      <c r="I15" s="33">
        <v>7821</v>
      </c>
      <c r="J15" s="34">
        <v>9556</v>
      </c>
      <c r="K15" s="35">
        <v>7496</v>
      </c>
      <c r="L15" s="36"/>
      <c r="M15" s="35"/>
      <c r="N15" s="36"/>
      <c r="O15" s="183"/>
    </row>
    <row r="16" spans="2:15">
      <c r="B16" s="177"/>
      <c r="C16" s="113"/>
      <c r="D16" s="113"/>
      <c r="E16" s="186"/>
      <c r="F16" s="113"/>
      <c r="G16" s="114"/>
      <c r="H16" s="115"/>
      <c r="I16" s="114"/>
      <c r="J16" s="115"/>
      <c r="K16" s="116"/>
      <c r="L16" s="117"/>
      <c r="M16" s="116"/>
      <c r="N16" s="117"/>
      <c r="O16" s="183"/>
    </row>
    <row r="17" spans="2:15">
      <c r="B17" s="178" t="s">
        <v>15</v>
      </c>
      <c r="C17" s="168">
        <f t="shared" ref="C17:F17" si="6">C12-C15</f>
        <v>448.01915338486288</v>
      </c>
      <c r="D17" s="168">
        <f t="shared" si="6"/>
        <v>-595.96856479590497</v>
      </c>
      <c r="E17" s="188">
        <f t="shared" si="6"/>
        <v>-9810.77678380424</v>
      </c>
      <c r="F17" s="168">
        <f t="shared" si="6"/>
        <v>-12872.429726882103</v>
      </c>
      <c r="G17" s="175">
        <f t="shared" ref="G17:N17" si="7">G12-G15</f>
        <v>4220.3250402360009</v>
      </c>
      <c r="H17" s="169">
        <f t="shared" si="7"/>
        <v>2778.0854874450015</v>
      </c>
      <c r="I17" s="175">
        <f t="shared" si="7"/>
        <v>-320.85501734599893</v>
      </c>
      <c r="J17" s="169">
        <f t="shared" si="7"/>
        <v>1025.7003622949978</v>
      </c>
      <c r="K17" s="176">
        <f t="shared" si="7"/>
        <v>5180.9523190662239</v>
      </c>
      <c r="L17" s="170">
        <f t="shared" si="7"/>
        <v>0</v>
      </c>
      <c r="M17" s="176">
        <f t="shared" si="7"/>
        <v>0</v>
      </c>
      <c r="N17" s="170">
        <f t="shared" si="7"/>
        <v>0</v>
      </c>
      <c r="O17" s="183"/>
    </row>
    <row r="18" spans="2:15">
      <c r="B18" s="47" t="s">
        <v>16</v>
      </c>
      <c r="C18" s="48">
        <f t="shared" ref="C18:F18" si="8">C17/C8</f>
        <v>2.9475583100120266E-2</v>
      </c>
      <c r="D18" s="48">
        <f t="shared" si="8"/>
        <v>-5.9716181140197035E-2</v>
      </c>
      <c r="E18" s="118">
        <f t="shared" si="8"/>
        <v>-1.2693187115534512</v>
      </c>
      <c r="F18" s="48">
        <f t="shared" si="8"/>
        <v>-0.69235068681634937</v>
      </c>
      <c r="G18" s="49">
        <f t="shared" ref="G18:N18" si="9">G17/G8</f>
        <v>0.23913899820013604</v>
      </c>
      <c r="H18" s="50">
        <f t="shared" si="9"/>
        <v>0.17067762013694349</v>
      </c>
      <c r="I18" s="49">
        <f t="shared" si="9"/>
        <v>-2.2460974262933073E-2</v>
      </c>
      <c r="J18" s="50">
        <f t="shared" si="9"/>
        <v>6.4924319063639227E-2</v>
      </c>
      <c r="K18" s="51">
        <f t="shared" si="9"/>
        <v>0.26021423468382687</v>
      </c>
      <c r="L18" s="52" t="e">
        <f t="shared" si="9"/>
        <v>#DIV/0!</v>
      </c>
      <c r="M18" s="51" t="e">
        <f t="shared" si="9"/>
        <v>#DIV/0!</v>
      </c>
      <c r="N18" s="52" t="e">
        <f t="shared" si="9"/>
        <v>#DIV/0!</v>
      </c>
      <c r="O18" s="183"/>
    </row>
    <row r="19" spans="2:15">
      <c r="B19" s="179"/>
      <c r="C19" s="32"/>
      <c r="D19" s="32"/>
      <c r="E19" s="187"/>
      <c r="F19" s="32"/>
      <c r="G19" s="33"/>
      <c r="H19" s="34"/>
      <c r="I19" s="33"/>
      <c r="J19" s="34"/>
      <c r="K19" s="35"/>
      <c r="L19" s="36"/>
      <c r="M19" s="35"/>
      <c r="N19" s="36"/>
      <c r="O19" s="183"/>
    </row>
    <row r="20" spans="2:15">
      <c r="B20" s="47" t="s">
        <v>17</v>
      </c>
      <c r="C20" s="192">
        <v>739.53477999999996</v>
      </c>
      <c r="D20" s="192">
        <v>692.20754155000031</v>
      </c>
      <c r="E20" s="191">
        <v>636.5580345999997</v>
      </c>
      <c r="F20" s="192">
        <v>1013.86535267</v>
      </c>
      <c r="G20" s="107">
        <v>1320.2411530690729</v>
      </c>
      <c r="H20" s="108">
        <v>1348.1882658695242</v>
      </c>
      <c r="I20" s="107">
        <v>1309.3437322573348</v>
      </c>
      <c r="J20" s="108">
        <v>1359.1013475702016</v>
      </c>
      <c r="K20" s="109">
        <v>1387.3169813331813</v>
      </c>
      <c r="L20" s="110"/>
      <c r="M20" s="109"/>
      <c r="N20" s="111"/>
      <c r="O20" s="183"/>
    </row>
    <row r="21" spans="2:15">
      <c r="B21" s="47" t="s">
        <v>18</v>
      </c>
      <c r="C21" s="192">
        <v>2274.2339999999999</v>
      </c>
      <c r="D21" s="192">
        <v>2195.625</v>
      </c>
      <c r="E21" s="192">
        <v>2086.4630000000002</v>
      </c>
      <c r="F21" s="192">
        <v>2002.223</v>
      </c>
      <c r="G21" s="107">
        <v>1212.231</v>
      </c>
      <c r="H21" s="108">
        <v>1263.796</v>
      </c>
      <c r="I21" s="108">
        <v>1209.087</v>
      </c>
      <c r="J21" s="108">
        <v>1257.662</v>
      </c>
      <c r="K21" s="109">
        <v>1264.8784606324941</v>
      </c>
      <c r="L21" s="110"/>
      <c r="M21" s="109"/>
      <c r="N21" s="111"/>
      <c r="O21" s="183"/>
    </row>
    <row r="22" spans="2:15">
      <c r="B22" s="47" t="s">
        <v>19</v>
      </c>
      <c r="C22" s="192"/>
      <c r="D22" s="192"/>
      <c r="E22" s="192"/>
      <c r="F22" s="192"/>
      <c r="G22" s="107">
        <v>0</v>
      </c>
      <c r="H22" s="108">
        <v>0</v>
      </c>
      <c r="I22" s="108">
        <v>0</v>
      </c>
      <c r="J22" s="108">
        <v>0</v>
      </c>
      <c r="K22" s="109">
        <v>0</v>
      </c>
      <c r="L22" s="110"/>
      <c r="M22" s="109"/>
      <c r="N22" s="111"/>
      <c r="O22" s="183"/>
    </row>
    <row r="23" spans="2:15">
      <c r="B23" s="180"/>
      <c r="C23" s="192"/>
      <c r="D23" s="192"/>
      <c r="E23" s="191"/>
      <c r="F23" s="192"/>
      <c r="G23" s="107"/>
      <c r="H23" s="108"/>
      <c r="I23" s="107"/>
      <c r="J23" s="108"/>
      <c r="K23" s="109"/>
      <c r="L23" s="110"/>
      <c r="M23" s="109"/>
      <c r="N23" s="111"/>
      <c r="O23" s="183"/>
    </row>
    <row r="24" spans="2:15">
      <c r="B24" s="178" t="s">
        <v>20</v>
      </c>
      <c r="C24" s="168">
        <f>C17-C20-C21-C22</f>
        <v>-2565.749626615137</v>
      </c>
      <c r="D24" s="168">
        <f t="shared" ref="D24:F24" si="10">D17-D20-D21-D22</f>
        <v>-3483.8011063459053</v>
      </c>
      <c r="E24" s="188">
        <f t="shared" si="10"/>
        <v>-12533.79781840424</v>
      </c>
      <c r="F24" s="168">
        <f t="shared" si="10"/>
        <v>-15888.518079552103</v>
      </c>
      <c r="G24" s="175">
        <f>G17-G20-G21-G22</f>
        <v>1687.852887166928</v>
      </c>
      <c r="H24" s="169">
        <f t="shared" ref="H24:N24" si="11">H17-H20-H21-H22</f>
        <v>166.10122157547721</v>
      </c>
      <c r="I24" s="175">
        <f t="shared" si="11"/>
        <v>-2839.2857496033339</v>
      </c>
      <c r="J24" s="169">
        <f t="shared" si="11"/>
        <v>-1591.0629852752038</v>
      </c>
      <c r="K24" s="176">
        <f t="shared" si="11"/>
        <v>2528.7568771005481</v>
      </c>
      <c r="L24" s="170">
        <f t="shared" si="11"/>
        <v>0</v>
      </c>
      <c r="M24" s="176">
        <f t="shared" si="11"/>
        <v>0</v>
      </c>
      <c r="N24" s="170">
        <f t="shared" si="11"/>
        <v>0</v>
      </c>
      <c r="O24" s="183"/>
    </row>
    <row r="25" spans="2:15">
      <c r="B25" s="47" t="s">
        <v>21</v>
      </c>
      <c r="C25" s="118">
        <f>C24/C8</f>
        <v>-0.16880297585945173</v>
      </c>
      <c r="D25" s="118">
        <f t="shared" ref="D25:F25" si="12">D24/D8</f>
        <v>-0.34907763632502314</v>
      </c>
      <c r="E25" s="118">
        <f t="shared" si="12"/>
        <v>-1.6216232871582348</v>
      </c>
      <c r="F25" s="118">
        <f t="shared" si="12"/>
        <v>-0.85457265164937524</v>
      </c>
      <c r="G25" s="49">
        <f>G24/G8</f>
        <v>9.5639896144998182E-2</v>
      </c>
      <c r="H25" s="49">
        <f t="shared" ref="H25:N25" si="13">H24/H8</f>
        <v>1.0204783592320186E-2</v>
      </c>
      <c r="I25" s="49">
        <f t="shared" si="13"/>
        <v>-0.19875994046925682</v>
      </c>
      <c r="J25" s="49">
        <f t="shared" si="13"/>
        <v>-0.10071038746171788</v>
      </c>
      <c r="K25" s="51">
        <f t="shared" si="13"/>
        <v>0.12700725560716597</v>
      </c>
      <c r="L25" s="51" t="e">
        <f t="shared" si="13"/>
        <v>#DIV/0!</v>
      </c>
      <c r="M25" s="51" t="e">
        <f t="shared" si="13"/>
        <v>#DIV/0!</v>
      </c>
      <c r="N25" s="51" t="e">
        <f t="shared" si="13"/>
        <v>#DIV/0!</v>
      </c>
      <c r="O25" s="183"/>
    </row>
    <row r="26" spans="2:15">
      <c r="B26" s="47"/>
      <c r="C26" s="119"/>
      <c r="D26" s="119"/>
      <c r="E26" s="119"/>
      <c r="F26" s="119"/>
      <c r="G26" s="120"/>
      <c r="H26" s="120"/>
      <c r="I26" s="120"/>
      <c r="J26" s="120"/>
      <c r="K26" s="121"/>
      <c r="L26" s="121"/>
      <c r="M26" s="121"/>
      <c r="N26" s="121"/>
      <c r="O26" s="183"/>
    </row>
    <row r="27" spans="2:15" ht="33" customHeight="1">
      <c r="B27" s="230" t="s">
        <v>22</v>
      </c>
      <c r="C27" s="230"/>
      <c r="D27" s="230"/>
      <c r="E27" s="230"/>
      <c r="F27" s="230"/>
      <c r="G27" s="230"/>
      <c r="H27" s="230"/>
      <c r="I27" s="230"/>
      <c r="J27" s="230"/>
      <c r="K27" s="230"/>
      <c r="L27" s="230"/>
      <c r="M27" s="230"/>
      <c r="N27" s="230"/>
      <c r="O27" s="230"/>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view="pageBreakPreview" zoomScale="80" zoomScaleNormal="100" zoomScaleSheetLayoutView="80" workbookViewId="0">
      <selection activeCell="B27" sqref="B27:O27"/>
    </sheetView>
  </sheetViews>
  <sheetFormatPr defaultRowHeight="14.5"/>
  <cols>
    <col min="1" max="1" width="2.1796875" customWidth="1"/>
    <col min="2" max="2" width="35.26953125" customWidth="1"/>
    <col min="3" max="14" width="10.7265625" customWidth="1"/>
    <col min="15" max="15" width="3" customWidth="1"/>
  </cols>
  <sheetData>
    <row r="1" spans="2:15" ht="15" thickBot="1"/>
    <row r="2" spans="2:15" ht="16" thickBot="1">
      <c r="B2" s="1" t="s">
        <v>25</v>
      </c>
      <c r="C2" s="11"/>
      <c r="D2" s="11"/>
      <c r="E2" s="11"/>
      <c r="F2" s="11"/>
      <c r="G2" s="11"/>
      <c r="H2" s="11"/>
      <c r="I2" s="11"/>
      <c r="J2" s="11"/>
      <c r="K2" s="11"/>
      <c r="L2" s="11"/>
      <c r="M2" s="11"/>
      <c r="N2" s="12"/>
      <c r="O2" s="13"/>
    </row>
    <row r="3" spans="2:15" ht="15" thickBot="1">
      <c r="B3" s="164"/>
      <c r="C3" s="231">
        <v>2016</v>
      </c>
      <c r="D3" s="232"/>
      <c r="E3" s="232"/>
      <c r="F3" s="233"/>
      <c r="G3" s="224">
        <v>2017</v>
      </c>
      <c r="H3" s="225"/>
      <c r="I3" s="225"/>
      <c r="J3" s="226"/>
      <c r="K3" s="227">
        <v>2018</v>
      </c>
      <c r="L3" s="228"/>
      <c r="M3" s="228"/>
      <c r="N3" s="229"/>
      <c r="O3" s="182"/>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182"/>
    </row>
    <row r="5" spans="2:15">
      <c r="B5" s="79" t="s">
        <v>6</v>
      </c>
      <c r="C5" s="32">
        <v>2357.3828793409912</v>
      </c>
      <c r="D5" s="32">
        <v>1547.070591571824</v>
      </c>
      <c r="E5" s="32">
        <v>1110.9423194279359</v>
      </c>
      <c r="F5" s="32">
        <v>773.62652865642394</v>
      </c>
      <c r="G5" s="34">
        <v>473</v>
      </c>
      <c r="H5" s="34">
        <v>7091</v>
      </c>
      <c r="I5" s="34">
        <v>1234</v>
      </c>
      <c r="J5" s="34">
        <v>741</v>
      </c>
      <c r="K5" s="36">
        <v>357.77389487423733</v>
      </c>
      <c r="L5" s="36"/>
      <c r="M5" s="36"/>
      <c r="N5" s="36"/>
      <c r="O5" s="182"/>
    </row>
    <row r="6" spans="2:15">
      <c r="B6" s="112" t="s">
        <v>7</v>
      </c>
      <c r="C6" s="32">
        <v>0</v>
      </c>
      <c r="D6" s="32">
        <v>0</v>
      </c>
      <c r="E6" s="32">
        <v>50.908279999999998</v>
      </c>
      <c r="F6" s="32">
        <v>52.320264999999999</v>
      </c>
      <c r="G6" s="34">
        <v>-12</v>
      </c>
      <c r="H6" s="34">
        <v>12</v>
      </c>
      <c r="I6" s="34">
        <v>0</v>
      </c>
      <c r="J6" s="34">
        <v>0</v>
      </c>
      <c r="K6" s="36">
        <v>0</v>
      </c>
      <c r="L6" s="36"/>
      <c r="M6" s="36"/>
      <c r="N6" s="36"/>
      <c r="O6" s="182"/>
    </row>
    <row r="7" spans="2:15">
      <c r="B7" s="220" t="s">
        <v>8</v>
      </c>
      <c r="C7" s="165">
        <v>18782.367850000002</v>
      </c>
      <c r="D7" s="165">
        <v>25531.758149999998</v>
      </c>
      <c r="E7" s="165">
        <v>23479.932800000002</v>
      </c>
      <c r="F7" s="165">
        <v>25143.453829999999</v>
      </c>
      <c r="G7" s="166">
        <v>37020</v>
      </c>
      <c r="H7" s="166">
        <v>35441</v>
      </c>
      <c r="I7" s="166">
        <v>25233</v>
      </c>
      <c r="J7" s="166">
        <v>32253</v>
      </c>
      <c r="K7" s="167">
        <v>19775.915069655999</v>
      </c>
      <c r="L7" s="167"/>
      <c r="M7" s="167"/>
      <c r="N7" s="167"/>
      <c r="O7" s="182"/>
    </row>
    <row r="8" spans="2:15">
      <c r="B8" s="178" t="s">
        <v>9</v>
      </c>
      <c r="C8" s="168">
        <f t="shared" ref="C8:F8" si="0">SUM(C5:C7)</f>
        <v>21139.750729340994</v>
      </c>
      <c r="D8" s="168">
        <f t="shared" si="0"/>
        <v>27078.828741571822</v>
      </c>
      <c r="E8" s="168">
        <f t="shared" si="0"/>
        <v>24641.783399427939</v>
      </c>
      <c r="F8" s="168">
        <f t="shared" si="0"/>
        <v>25969.400623656424</v>
      </c>
      <c r="G8" s="169">
        <f t="shared" ref="G8:N8" si="1">SUM(G5:G7)</f>
        <v>37481</v>
      </c>
      <c r="H8" s="169">
        <f t="shared" si="1"/>
        <v>42544</v>
      </c>
      <c r="I8" s="169">
        <f t="shared" si="1"/>
        <v>26467</v>
      </c>
      <c r="J8" s="169">
        <f t="shared" si="1"/>
        <v>32994</v>
      </c>
      <c r="K8" s="170">
        <f t="shared" si="1"/>
        <v>20133.688964530236</v>
      </c>
      <c r="L8" s="170">
        <f t="shared" si="1"/>
        <v>0</v>
      </c>
      <c r="M8" s="170">
        <f t="shared" si="1"/>
        <v>0</v>
      </c>
      <c r="N8" s="170">
        <f t="shared" si="1"/>
        <v>0</v>
      </c>
      <c r="O8" s="182"/>
    </row>
    <row r="9" spans="2:15">
      <c r="B9" s="101"/>
      <c r="C9" s="113"/>
      <c r="D9" s="171"/>
      <c r="E9" s="186"/>
      <c r="F9" s="171"/>
      <c r="G9" s="114"/>
      <c r="H9" s="172"/>
      <c r="I9" s="114"/>
      <c r="J9" s="172"/>
      <c r="K9" s="116"/>
      <c r="L9" s="173"/>
      <c r="M9" s="116"/>
      <c r="N9" s="173"/>
      <c r="O9" s="182"/>
    </row>
    <row r="10" spans="2:15">
      <c r="B10" s="47" t="s">
        <v>10</v>
      </c>
      <c r="C10" s="32">
        <v>12864.39881028347</v>
      </c>
      <c r="D10" s="32">
        <v>14637.440779917879</v>
      </c>
      <c r="E10" s="187">
        <v>18494.614954191464</v>
      </c>
      <c r="F10" s="32">
        <v>19481.933048041865</v>
      </c>
      <c r="G10" s="33">
        <v>20553.747236555013</v>
      </c>
      <c r="H10" s="34">
        <v>23864.600718432208</v>
      </c>
      <c r="I10" s="33">
        <v>15808.001576149272</v>
      </c>
      <c r="J10" s="34">
        <v>17582.544547765418</v>
      </c>
      <c r="K10" s="35">
        <v>10782.12260583709</v>
      </c>
      <c r="L10" s="36"/>
      <c r="M10" s="35"/>
      <c r="N10" s="36"/>
      <c r="O10" s="183"/>
    </row>
    <row r="11" spans="2:15">
      <c r="B11" s="47" t="s">
        <v>11</v>
      </c>
      <c r="C11" s="32">
        <v>373.76307418876797</v>
      </c>
      <c r="D11" s="32">
        <v>243.11773487575198</v>
      </c>
      <c r="E11" s="187">
        <v>0</v>
      </c>
      <c r="F11" s="32">
        <v>0</v>
      </c>
      <c r="G11" s="33">
        <v>165.47294445835999</v>
      </c>
      <c r="H11" s="34">
        <v>185.78900565992799</v>
      </c>
      <c r="I11" s="33">
        <v>2615.9835463429449</v>
      </c>
      <c r="J11" s="34">
        <v>3559.210013464608</v>
      </c>
      <c r="K11" s="35">
        <v>1393.122354940848</v>
      </c>
      <c r="L11" s="36"/>
      <c r="M11" s="35"/>
      <c r="N11" s="36"/>
      <c r="O11" s="183"/>
    </row>
    <row r="12" spans="2:15">
      <c r="B12" s="174" t="s">
        <v>12</v>
      </c>
      <c r="C12" s="168">
        <f t="shared" ref="C12:F12" si="2">C8-C10-C11</f>
        <v>7901.5888448687565</v>
      </c>
      <c r="D12" s="168">
        <f t="shared" si="2"/>
        <v>12198.270226778191</v>
      </c>
      <c r="E12" s="188">
        <f t="shared" si="2"/>
        <v>6147.1684452364752</v>
      </c>
      <c r="F12" s="168">
        <f t="shared" si="2"/>
        <v>6487.4675756145589</v>
      </c>
      <c r="G12" s="175">
        <f t="shared" ref="G12:N12" si="3">G8-G10-G11</f>
        <v>16761.779818986626</v>
      </c>
      <c r="H12" s="169">
        <f t="shared" si="3"/>
        <v>18493.610275907864</v>
      </c>
      <c r="I12" s="175">
        <f t="shared" si="3"/>
        <v>8043.0148775077832</v>
      </c>
      <c r="J12" s="169">
        <f t="shared" si="3"/>
        <v>11852.245438769974</v>
      </c>
      <c r="K12" s="176">
        <f t="shared" si="3"/>
        <v>7958.4440037522982</v>
      </c>
      <c r="L12" s="170">
        <f t="shared" si="3"/>
        <v>0</v>
      </c>
      <c r="M12" s="176">
        <f t="shared" si="3"/>
        <v>0</v>
      </c>
      <c r="N12" s="170">
        <f t="shared" si="3"/>
        <v>0</v>
      </c>
      <c r="O12" s="183"/>
    </row>
    <row r="13" spans="2:15">
      <c r="B13" s="47" t="s">
        <v>13</v>
      </c>
      <c r="C13" s="48">
        <f t="shared" ref="C13:F13" si="4">C12/C8</f>
        <v>0.37377871414073571</v>
      </c>
      <c r="D13" s="48">
        <f t="shared" si="4"/>
        <v>0.45047259403990486</v>
      </c>
      <c r="E13" s="118">
        <f t="shared" si="4"/>
        <v>0.24946118329159497</v>
      </c>
      <c r="F13" s="48">
        <f t="shared" si="4"/>
        <v>0.24981198717789815</v>
      </c>
      <c r="G13" s="49">
        <f t="shared" ref="G13:N13" si="5">G12/G8</f>
        <v>0.4472073802456345</v>
      </c>
      <c r="H13" s="50">
        <f t="shared" si="5"/>
        <v>0.43469373533066624</v>
      </c>
      <c r="I13" s="49">
        <f t="shared" si="5"/>
        <v>0.30388842246978437</v>
      </c>
      <c r="J13" s="50">
        <f t="shared" si="5"/>
        <v>0.3592242661929434</v>
      </c>
      <c r="K13" s="51">
        <f t="shared" si="5"/>
        <v>0.39527997168192996</v>
      </c>
      <c r="L13" s="52" t="e">
        <f t="shared" si="5"/>
        <v>#DIV/0!</v>
      </c>
      <c r="M13" s="51" t="e">
        <f t="shared" si="5"/>
        <v>#DIV/0!</v>
      </c>
      <c r="N13" s="52" t="e">
        <f t="shared" si="5"/>
        <v>#DIV/0!</v>
      </c>
      <c r="O13" s="183"/>
    </row>
    <row r="14" spans="2:15">
      <c r="B14" s="177"/>
      <c r="C14" s="113"/>
      <c r="D14" s="113"/>
      <c r="E14" s="186"/>
      <c r="F14" s="113"/>
      <c r="G14" s="114"/>
      <c r="H14" s="115"/>
      <c r="I14" s="114"/>
      <c r="J14" s="115"/>
      <c r="K14" s="116"/>
      <c r="L14" s="117"/>
      <c r="M14" s="116"/>
      <c r="N14" s="117"/>
      <c r="O14" s="183"/>
    </row>
    <row r="15" spans="2:15">
      <c r="B15" s="47" t="s">
        <v>14</v>
      </c>
      <c r="C15" s="32">
        <v>13148.813224773017</v>
      </c>
      <c r="D15" s="32">
        <v>12792.116714208652</v>
      </c>
      <c r="E15" s="187">
        <v>14308.909104568949</v>
      </c>
      <c r="F15" s="32">
        <v>8619.2040842854876</v>
      </c>
      <c r="G15" s="33">
        <v>12714</v>
      </c>
      <c r="H15" s="34">
        <v>12088</v>
      </c>
      <c r="I15" s="33">
        <v>12965</v>
      </c>
      <c r="J15" s="34">
        <v>15807</v>
      </c>
      <c r="K15" s="35">
        <v>13605</v>
      </c>
      <c r="L15" s="36"/>
      <c r="M15" s="35"/>
      <c r="N15" s="36"/>
      <c r="O15" s="183"/>
    </row>
    <row r="16" spans="2:15">
      <c r="B16" s="177"/>
      <c r="C16" s="113"/>
      <c r="D16" s="113"/>
      <c r="E16" s="186"/>
      <c r="F16" s="113"/>
      <c r="G16" s="114"/>
      <c r="H16" s="115"/>
      <c r="I16" s="114"/>
      <c r="J16" s="115"/>
      <c r="K16" s="116"/>
      <c r="L16" s="117"/>
      <c r="M16" s="116"/>
      <c r="N16" s="117"/>
      <c r="O16" s="183"/>
    </row>
    <row r="17" spans="2:15">
      <c r="B17" s="178" t="s">
        <v>15</v>
      </c>
      <c r="C17" s="168">
        <f t="shared" ref="C17:F17" si="6">C12-C15</f>
        <v>-5247.2243799042608</v>
      </c>
      <c r="D17" s="168">
        <f t="shared" si="6"/>
        <v>-593.84648743046091</v>
      </c>
      <c r="E17" s="188">
        <f t="shared" si="6"/>
        <v>-8161.740659332474</v>
      </c>
      <c r="F17" s="168">
        <f t="shared" si="6"/>
        <v>-2131.7365086709287</v>
      </c>
      <c r="G17" s="175">
        <f t="shared" ref="G17:N17" si="7">G12-G15</f>
        <v>4047.7798189866262</v>
      </c>
      <c r="H17" s="169">
        <f t="shared" si="7"/>
        <v>6405.610275907864</v>
      </c>
      <c r="I17" s="175">
        <f t="shared" si="7"/>
        <v>-4921.9851224922168</v>
      </c>
      <c r="J17" s="169">
        <f t="shared" si="7"/>
        <v>-3954.7545612300255</v>
      </c>
      <c r="K17" s="176">
        <f t="shared" si="7"/>
        <v>-5646.5559962477018</v>
      </c>
      <c r="L17" s="170">
        <f t="shared" si="7"/>
        <v>0</v>
      </c>
      <c r="M17" s="176">
        <f t="shared" si="7"/>
        <v>0</v>
      </c>
      <c r="N17" s="170">
        <f t="shared" si="7"/>
        <v>0</v>
      </c>
      <c r="O17" s="183"/>
    </row>
    <row r="18" spans="2:15">
      <c r="B18" s="47" t="s">
        <v>16</v>
      </c>
      <c r="C18" s="48">
        <f t="shared" ref="C18:F18" si="8">C17/C8</f>
        <v>-0.24821600060881308</v>
      </c>
      <c r="D18" s="48">
        <f t="shared" si="8"/>
        <v>-2.1930287055539403E-2</v>
      </c>
      <c r="E18" s="118">
        <f t="shared" si="8"/>
        <v>-0.33121550202092714</v>
      </c>
      <c r="F18" s="48">
        <f t="shared" si="8"/>
        <v>-8.208647321375051E-2</v>
      </c>
      <c r="G18" s="49">
        <f t="shared" ref="G18:N18" si="9">G17/G8</f>
        <v>0.10799551289951245</v>
      </c>
      <c r="H18" s="50">
        <f t="shared" si="9"/>
        <v>0.15056436338632626</v>
      </c>
      <c r="I18" s="49">
        <f t="shared" si="9"/>
        <v>-0.18596686902528495</v>
      </c>
      <c r="J18" s="50">
        <f t="shared" si="9"/>
        <v>-0.11986284055373782</v>
      </c>
      <c r="K18" s="51">
        <f t="shared" si="9"/>
        <v>-0.28045312541558121</v>
      </c>
      <c r="L18" s="52" t="e">
        <f t="shared" si="9"/>
        <v>#DIV/0!</v>
      </c>
      <c r="M18" s="51" t="e">
        <f t="shared" si="9"/>
        <v>#DIV/0!</v>
      </c>
      <c r="N18" s="52" t="e">
        <f t="shared" si="9"/>
        <v>#DIV/0!</v>
      </c>
      <c r="O18" s="183"/>
    </row>
    <row r="19" spans="2:15">
      <c r="B19" s="179"/>
      <c r="C19" s="32"/>
      <c r="D19" s="32"/>
      <c r="E19" s="187"/>
      <c r="F19" s="32"/>
      <c r="G19" s="33"/>
      <c r="H19" s="34"/>
      <c r="I19" s="33"/>
      <c r="J19" s="34"/>
      <c r="K19" s="35"/>
      <c r="L19" s="36"/>
      <c r="M19" s="35"/>
      <c r="N19" s="36"/>
      <c r="O19" s="183"/>
    </row>
    <row r="20" spans="2:15">
      <c r="B20" s="47" t="s">
        <v>17</v>
      </c>
      <c r="C20" s="192">
        <v>58.723737600000277</v>
      </c>
      <c r="D20" s="192">
        <v>118.65344512000047</v>
      </c>
      <c r="E20" s="191">
        <v>243.08343446000026</v>
      </c>
      <c r="F20" s="192">
        <v>580.00815294396784</v>
      </c>
      <c r="G20" s="107">
        <v>997.09155946468206</v>
      </c>
      <c r="H20" s="108">
        <v>964.69038800593466</v>
      </c>
      <c r="I20" s="107">
        <v>999.01281279310854</v>
      </c>
      <c r="J20" s="108">
        <v>1262.511674023978</v>
      </c>
      <c r="K20" s="109">
        <v>916.88673828328706</v>
      </c>
      <c r="L20" s="110"/>
      <c r="M20" s="109"/>
      <c r="N20" s="111"/>
      <c r="O20" s="183"/>
    </row>
    <row r="21" spans="2:15">
      <c r="B21" s="47" t="s">
        <v>18</v>
      </c>
      <c r="C21" s="192">
        <v>2562.424</v>
      </c>
      <c r="D21" s="192">
        <v>2449.741</v>
      </c>
      <c r="E21" s="192">
        <v>2037.0160000000001</v>
      </c>
      <c r="F21" s="192">
        <v>2045.8050000000001</v>
      </c>
      <c r="G21" s="107">
        <v>2848.855</v>
      </c>
      <c r="H21" s="108">
        <v>2907.462</v>
      </c>
      <c r="I21" s="108">
        <v>2779.54</v>
      </c>
      <c r="J21" s="108">
        <v>2818.1080000000002</v>
      </c>
      <c r="K21" s="109">
        <v>2621.7401536217999</v>
      </c>
      <c r="L21" s="110"/>
      <c r="M21" s="109"/>
      <c r="N21" s="111"/>
      <c r="O21" s="183"/>
    </row>
    <row r="22" spans="2:15">
      <c r="B22" s="47" t="s">
        <v>19</v>
      </c>
      <c r="C22" s="192"/>
      <c r="D22" s="192"/>
      <c r="E22" s="192"/>
      <c r="F22" s="192"/>
      <c r="G22" s="107">
        <v>0</v>
      </c>
      <c r="H22" s="108">
        <v>0</v>
      </c>
      <c r="I22" s="108">
        <v>0</v>
      </c>
      <c r="J22" s="108">
        <v>14032.107</v>
      </c>
      <c r="K22" s="109"/>
      <c r="L22" s="110"/>
      <c r="M22" s="109"/>
      <c r="N22" s="111"/>
      <c r="O22" s="183"/>
    </row>
    <row r="23" spans="2:15">
      <c r="B23" s="180"/>
      <c r="C23" s="192"/>
      <c r="D23" s="192"/>
      <c r="E23" s="191"/>
      <c r="F23" s="192"/>
      <c r="G23" s="107"/>
      <c r="H23" s="108"/>
      <c r="I23" s="107"/>
      <c r="J23" s="108"/>
      <c r="K23" s="109"/>
      <c r="L23" s="110"/>
      <c r="M23" s="109"/>
      <c r="N23" s="111"/>
      <c r="O23" s="183"/>
    </row>
    <row r="24" spans="2:15">
      <c r="B24" s="178" t="s">
        <v>20</v>
      </c>
      <c r="C24" s="168">
        <f>C17-C20-C21-C22</f>
        <v>-7868.372117504261</v>
      </c>
      <c r="D24" s="168">
        <f t="shared" ref="D24:F24" si="10">D17-D20-D21-D22</f>
        <v>-3162.2409325504614</v>
      </c>
      <c r="E24" s="188">
        <f t="shared" si="10"/>
        <v>-10441.840093792474</v>
      </c>
      <c r="F24" s="168">
        <f t="shared" si="10"/>
        <v>-4757.5496616148966</v>
      </c>
      <c r="G24" s="175">
        <f>G17-G20-G21-G22</f>
        <v>201.833259521944</v>
      </c>
      <c r="H24" s="169">
        <f t="shared" ref="H24:N24" si="11">H17-H20-H21-H22</f>
        <v>2533.4578879019296</v>
      </c>
      <c r="I24" s="175">
        <f t="shared" si="11"/>
        <v>-8700.5379352853251</v>
      </c>
      <c r="J24" s="169">
        <f t="shared" si="11"/>
        <v>-22067.481235254003</v>
      </c>
      <c r="K24" s="176">
        <f t="shared" si="11"/>
        <v>-9185.182888152789</v>
      </c>
      <c r="L24" s="170">
        <f t="shared" si="11"/>
        <v>0</v>
      </c>
      <c r="M24" s="176">
        <f t="shared" si="11"/>
        <v>0</v>
      </c>
      <c r="N24" s="170">
        <f t="shared" si="11"/>
        <v>0</v>
      </c>
      <c r="O24" s="183"/>
    </row>
    <row r="25" spans="2:15">
      <c r="B25" s="47" t="s">
        <v>21</v>
      </c>
      <c r="C25" s="118">
        <f>C24/C8</f>
        <v>-0.37220742184927114</v>
      </c>
      <c r="D25" s="118">
        <f t="shared" ref="D25:F25" si="12">D24/D8</f>
        <v>-0.11677908829548975</v>
      </c>
      <c r="E25" s="118">
        <f t="shared" si="12"/>
        <v>-0.42374530789986908</v>
      </c>
      <c r="F25" s="118">
        <f t="shared" si="12"/>
        <v>-0.18319828518803319</v>
      </c>
      <c r="G25" s="49">
        <f>G24/G8</f>
        <v>5.3849486278899706E-3</v>
      </c>
      <c r="H25" s="49">
        <f t="shared" ref="H25:N25" si="13">H24/H8</f>
        <v>5.9549122976258216E-2</v>
      </c>
      <c r="I25" s="49">
        <f t="shared" si="13"/>
        <v>-0.32873155005423077</v>
      </c>
      <c r="J25" s="49">
        <f t="shared" si="13"/>
        <v>-0.6688331586122932</v>
      </c>
      <c r="K25" s="51">
        <f t="shared" si="13"/>
        <v>-0.45620963472389175</v>
      </c>
      <c r="L25" s="51" t="e">
        <f t="shared" si="13"/>
        <v>#DIV/0!</v>
      </c>
      <c r="M25" s="51" t="e">
        <f t="shared" si="13"/>
        <v>#DIV/0!</v>
      </c>
      <c r="N25" s="51" t="e">
        <f t="shared" si="13"/>
        <v>#DIV/0!</v>
      </c>
      <c r="O25" s="183"/>
    </row>
    <row r="26" spans="2:15">
      <c r="B26" s="47"/>
      <c r="C26" s="119"/>
      <c r="D26" s="119"/>
      <c r="E26" s="119"/>
      <c r="F26" s="119"/>
      <c r="G26" s="120"/>
      <c r="H26" s="120"/>
      <c r="I26" s="120"/>
      <c r="J26" s="120"/>
      <c r="K26" s="121"/>
      <c r="L26" s="121"/>
      <c r="M26" s="121"/>
      <c r="N26" s="121"/>
      <c r="O26" s="183"/>
    </row>
    <row r="27" spans="2:15" ht="33" customHeight="1">
      <c r="B27" s="230" t="s">
        <v>22</v>
      </c>
      <c r="C27" s="230"/>
      <c r="D27" s="230"/>
      <c r="E27" s="230"/>
      <c r="F27" s="230"/>
      <c r="G27" s="230"/>
      <c r="H27" s="230"/>
      <c r="I27" s="230"/>
      <c r="J27" s="230"/>
      <c r="K27" s="230"/>
      <c r="L27" s="230"/>
      <c r="M27" s="230"/>
      <c r="N27" s="230"/>
      <c r="O27" s="230"/>
    </row>
    <row r="32" spans="2:15">
      <c r="D32">
        <v>1000</v>
      </c>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view="pageBreakPreview" zoomScale="80" zoomScaleNormal="100" zoomScaleSheetLayoutView="80" workbookViewId="0">
      <selection activeCell="G31" sqref="G31"/>
    </sheetView>
  </sheetViews>
  <sheetFormatPr defaultRowHeight="14.5"/>
  <cols>
    <col min="1" max="1" width="2.1796875" customWidth="1"/>
    <col min="2" max="2" width="35.26953125" customWidth="1"/>
    <col min="3" max="14" width="10.7265625" customWidth="1"/>
    <col min="15" max="15" width="3" customWidth="1"/>
  </cols>
  <sheetData>
    <row r="1" spans="2:15" ht="15" thickBot="1"/>
    <row r="2" spans="2:15" ht="16" thickBot="1">
      <c r="B2" s="1" t="s">
        <v>26</v>
      </c>
      <c r="C2" s="11"/>
      <c r="D2" s="11"/>
      <c r="E2" s="11"/>
      <c r="F2" s="11"/>
      <c r="G2" s="11"/>
      <c r="H2" s="11"/>
      <c r="I2" s="11"/>
      <c r="J2" s="11"/>
      <c r="K2" s="11"/>
      <c r="L2" s="11"/>
      <c r="M2" s="11"/>
      <c r="N2" s="12"/>
      <c r="O2" s="13"/>
    </row>
    <row r="3" spans="2:15" ht="15" thickBot="1">
      <c r="B3" s="164"/>
      <c r="C3" s="231">
        <v>2016</v>
      </c>
      <c r="D3" s="232"/>
      <c r="E3" s="232"/>
      <c r="F3" s="233"/>
      <c r="G3" s="224">
        <v>2017</v>
      </c>
      <c r="H3" s="225"/>
      <c r="I3" s="225"/>
      <c r="J3" s="226"/>
      <c r="K3" s="227">
        <v>2018</v>
      </c>
      <c r="L3" s="228"/>
      <c r="M3" s="228"/>
      <c r="N3" s="229"/>
      <c r="O3" s="182"/>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182"/>
    </row>
    <row r="5" spans="2:15">
      <c r="B5" s="79" t="s">
        <v>6</v>
      </c>
      <c r="C5" s="32">
        <v>1708.989904608</v>
      </c>
      <c r="D5" s="32">
        <v>781.953031485</v>
      </c>
      <c r="E5" s="32">
        <v>2620.6976230180003</v>
      </c>
      <c r="F5" s="32">
        <v>534.465035704</v>
      </c>
      <c r="G5" s="34">
        <v>6499</v>
      </c>
      <c r="H5" s="34">
        <v>6990</v>
      </c>
      <c r="I5" s="34">
        <v>1866</v>
      </c>
      <c r="J5" s="34">
        <v>8359</v>
      </c>
      <c r="K5" s="36">
        <v>7468.560074849559</v>
      </c>
      <c r="L5" s="36"/>
      <c r="M5" s="36"/>
      <c r="N5" s="36"/>
      <c r="O5" s="182"/>
    </row>
    <row r="6" spans="2:15">
      <c r="B6" s="112" t="s">
        <v>7</v>
      </c>
      <c r="C6" s="32">
        <v>0</v>
      </c>
      <c r="D6" s="32">
        <v>0</v>
      </c>
      <c r="E6" s="32">
        <v>0</v>
      </c>
      <c r="F6" s="32">
        <v>0</v>
      </c>
      <c r="G6" s="34">
        <v>0</v>
      </c>
      <c r="H6" s="34">
        <v>0</v>
      </c>
      <c r="I6" s="34">
        <v>0</v>
      </c>
      <c r="J6" s="34"/>
      <c r="K6" s="36">
        <v>0</v>
      </c>
      <c r="L6" s="36"/>
      <c r="M6" s="36"/>
      <c r="N6" s="36"/>
      <c r="O6" s="182"/>
    </row>
    <row r="7" spans="2:15">
      <c r="B7" s="220" t="s">
        <v>8</v>
      </c>
      <c r="C7" s="165">
        <v>11760.131620000002</v>
      </c>
      <c r="D7" s="165">
        <v>8777.3579399999999</v>
      </c>
      <c r="E7" s="165">
        <v>12981.689590000002</v>
      </c>
      <c r="F7" s="165">
        <v>13395.16993</v>
      </c>
      <c r="G7" s="166">
        <v>25259</v>
      </c>
      <c r="H7" s="166">
        <v>18389</v>
      </c>
      <c r="I7" s="166">
        <v>21609</v>
      </c>
      <c r="J7" s="166">
        <v>24031.200000000001</v>
      </c>
      <c r="K7" s="167">
        <v>20232.151573232</v>
      </c>
      <c r="L7" s="167"/>
      <c r="M7" s="167"/>
      <c r="N7" s="167"/>
      <c r="O7" s="182"/>
    </row>
    <row r="8" spans="2:15">
      <c r="B8" s="178" t="s">
        <v>9</v>
      </c>
      <c r="C8" s="168">
        <f t="shared" ref="C8:F8" si="0">SUM(C5:C7)</f>
        <v>13469.121524608003</v>
      </c>
      <c r="D8" s="168">
        <f t="shared" si="0"/>
        <v>9559.3109714849998</v>
      </c>
      <c r="E8" s="168">
        <f t="shared" si="0"/>
        <v>15602.387213018003</v>
      </c>
      <c r="F8" s="168">
        <f t="shared" si="0"/>
        <v>13929.634965704001</v>
      </c>
      <c r="G8" s="169">
        <f t="shared" ref="G8:N8" si="1">SUM(G5:G7)</f>
        <v>31758</v>
      </c>
      <c r="H8" s="169">
        <f t="shared" si="1"/>
        <v>25379</v>
      </c>
      <c r="I8" s="169">
        <f t="shared" si="1"/>
        <v>23475</v>
      </c>
      <c r="J8" s="169">
        <f t="shared" si="1"/>
        <v>32390.2</v>
      </c>
      <c r="K8" s="170">
        <f t="shared" si="1"/>
        <v>27700.71164808156</v>
      </c>
      <c r="L8" s="170">
        <f t="shared" si="1"/>
        <v>0</v>
      </c>
      <c r="M8" s="170">
        <f t="shared" si="1"/>
        <v>0</v>
      </c>
      <c r="N8" s="170">
        <f t="shared" si="1"/>
        <v>0</v>
      </c>
      <c r="O8" s="182"/>
    </row>
    <row r="9" spans="2:15">
      <c r="B9" s="101"/>
      <c r="C9" s="113"/>
      <c r="D9" s="171"/>
      <c r="E9" s="186"/>
      <c r="F9" s="171"/>
      <c r="G9" s="114"/>
      <c r="H9" s="172"/>
      <c r="I9" s="114"/>
      <c r="J9" s="172"/>
      <c r="K9" s="116"/>
      <c r="L9" s="173"/>
      <c r="M9" s="116"/>
      <c r="N9" s="173"/>
      <c r="O9" s="182"/>
    </row>
    <row r="10" spans="2:15">
      <c r="B10" s="47" t="s">
        <v>10</v>
      </c>
      <c r="C10" s="32">
        <v>316.54161114999999</v>
      </c>
      <c r="D10" s="32">
        <v>854.81894918099988</v>
      </c>
      <c r="E10" s="187">
        <v>282.00552998199998</v>
      </c>
      <c r="F10" s="32">
        <v>195.417105779</v>
      </c>
      <c r="G10" s="33">
        <v>1284.3141207724805</v>
      </c>
      <c r="H10" s="34">
        <v>82.644251609999969</v>
      </c>
      <c r="I10" s="33">
        <v>0.29516699799999996</v>
      </c>
      <c r="J10" s="34">
        <v>1044.3134093425917</v>
      </c>
      <c r="K10" s="35">
        <v>739.556279518</v>
      </c>
      <c r="L10" s="36"/>
      <c r="M10" s="35"/>
      <c r="N10" s="36"/>
      <c r="O10" s="183"/>
    </row>
    <row r="11" spans="2:15">
      <c r="B11" s="47" t="s">
        <v>11</v>
      </c>
      <c r="C11" s="32">
        <v>2771.0426000000002</v>
      </c>
      <c r="D11" s="32">
        <v>3262.1496799999995</v>
      </c>
      <c r="E11" s="187">
        <v>5290.3354900000004</v>
      </c>
      <c r="F11" s="32">
        <v>4108.8297400000001</v>
      </c>
      <c r="G11" s="33">
        <v>4879.5582054687438</v>
      </c>
      <c r="H11" s="34">
        <v>5761.1865342514793</v>
      </c>
      <c r="I11" s="33">
        <v>5890.0212425979998</v>
      </c>
      <c r="J11" s="34">
        <v>4320.0648015670004</v>
      </c>
      <c r="K11" s="35">
        <v>2617.7748005520002</v>
      </c>
      <c r="L11" s="36"/>
      <c r="M11" s="35"/>
      <c r="N11" s="36"/>
      <c r="O11" s="183"/>
    </row>
    <row r="12" spans="2:15">
      <c r="B12" s="174" t="s">
        <v>12</v>
      </c>
      <c r="C12" s="168">
        <f t="shared" ref="C12:F12" si="2">C8-C10-C11</f>
        <v>10381.537313458002</v>
      </c>
      <c r="D12" s="168">
        <f t="shared" si="2"/>
        <v>5442.3423423039994</v>
      </c>
      <c r="E12" s="188">
        <f t="shared" si="2"/>
        <v>10030.046193036003</v>
      </c>
      <c r="F12" s="168">
        <f t="shared" si="2"/>
        <v>9625.388119924999</v>
      </c>
      <c r="G12" s="175">
        <f t="shared" ref="G12:N12" si="3">G8-G10-G11</f>
        <v>25594.127673758776</v>
      </c>
      <c r="H12" s="169">
        <f t="shared" si="3"/>
        <v>19535.169214138521</v>
      </c>
      <c r="I12" s="175">
        <f t="shared" si="3"/>
        <v>17584.683590404002</v>
      </c>
      <c r="J12" s="169">
        <f t="shared" si="3"/>
        <v>27025.821789090409</v>
      </c>
      <c r="K12" s="176">
        <f t="shared" si="3"/>
        <v>24343.380568011558</v>
      </c>
      <c r="L12" s="170">
        <f t="shared" si="3"/>
        <v>0</v>
      </c>
      <c r="M12" s="176">
        <f t="shared" si="3"/>
        <v>0</v>
      </c>
      <c r="N12" s="170">
        <f t="shared" si="3"/>
        <v>0</v>
      </c>
      <c r="O12" s="183"/>
    </row>
    <row r="13" spans="2:15">
      <c r="B13" s="47" t="s">
        <v>13</v>
      </c>
      <c r="C13" s="48">
        <f t="shared" ref="C13:F13" si="4">C12/C8</f>
        <v>0.77076573215936894</v>
      </c>
      <c r="D13" s="48">
        <f t="shared" si="4"/>
        <v>0.56932370528987553</v>
      </c>
      <c r="E13" s="118">
        <f t="shared" si="4"/>
        <v>0.64285330546516228</v>
      </c>
      <c r="F13" s="48">
        <f t="shared" si="4"/>
        <v>0.69100074363926689</v>
      </c>
      <c r="G13" s="49">
        <f t="shared" ref="G13:N13" si="5">G12/G8</f>
        <v>0.80591119320356375</v>
      </c>
      <c r="H13" s="50">
        <f t="shared" si="5"/>
        <v>0.76973754734774902</v>
      </c>
      <c r="I13" s="49">
        <f t="shared" si="5"/>
        <v>0.74908130310560173</v>
      </c>
      <c r="J13" s="50">
        <f t="shared" si="5"/>
        <v>0.83438267713970304</v>
      </c>
      <c r="K13" s="51">
        <f t="shared" si="5"/>
        <v>0.87879982569680604</v>
      </c>
      <c r="L13" s="52" t="e">
        <f t="shared" si="5"/>
        <v>#DIV/0!</v>
      </c>
      <c r="M13" s="51" t="e">
        <f t="shared" si="5"/>
        <v>#DIV/0!</v>
      </c>
      <c r="N13" s="52" t="e">
        <f t="shared" si="5"/>
        <v>#DIV/0!</v>
      </c>
      <c r="O13" s="183"/>
    </row>
    <row r="14" spans="2:15">
      <c r="B14" s="177"/>
      <c r="C14" s="113"/>
      <c r="D14" s="113"/>
      <c r="E14" s="186"/>
      <c r="F14" s="113"/>
      <c r="G14" s="114"/>
      <c r="H14" s="115"/>
      <c r="I14" s="114"/>
      <c r="J14" s="115"/>
      <c r="K14" s="116"/>
      <c r="L14" s="117"/>
      <c r="M14" s="116"/>
      <c r="N14" s="117"/>
      <c r="O14" s="183"/>
    </row>
    <row r="15" spans="2:15">
      <c r="B15" s="47" t="s">
        <v>14</v>
      </c>
      <c r="C15" s="32">
        <v>23258.817418260704</v>
      </c>
      <c r="D15" s="32">
        <v>19443.910006831917</v>
      </c>
      <c r="E15" s="187">
        <v>24929.816794867842</v>
      </c>
      <c r="F15" s="32">
        <v>15510.147994486353</v>
      </c>
      <c r="G15" s="33">
        <v>20107</v>
      </c>
      <c r="H15" s="34">
        <v>19001</v>
      </c>
      <c r="I15" s="33">
        <v>18420</v>
      </c>
      <c r="J15" s="34">
        <v>17884</v>
      </c>
      <c r="K15" s="35">
        <v>20742</v>
      </c>
      <c r="L15" s="36"/>
      <c r="M15" s="35"/>
      <c r="N15" s="36"/>
      <c r="O15" s="183"/>
    </row>
    <row r="16" spans="2:15">
      <c r="B16" s="177"/>
      <c r="C16" s="113"/>
      <c r="D16" s="113"/>
      <c r="E16" s="186"/>
      <c r="F16" s="113"/>
      <c r="G16" s="114"/>
      <c r="H16" s="115"/>
      <c r="I16" s="114"/>
      <c r="J16" s="115"/>
      <c r="K16" s="116"/>
      <c r="L16" s="117"/>
      <c r="M16" s="116"/>
      <c r="N16" s="117"/>
      <c r="O16" s="183"/>
    </row>
    <row r="17" spans="2:15">
      <c r="B17" s="178" t="s">
        <v>15</v>
      </c>
      <c r="C17" s="168">
        <f t="shared" ref="C17:F17" si="6">C12-C15</f>
        <v>-12877.280104802701</v>
      </c>
      <c r="D17" s="168">
        <f t="shared" si="6"/>
        <v>-14001.567664527916</v>
      </c>
      <c r="E17" s="188">
        <f t="shared" si="6"/>
        <v>-14899.770601831839</v>
      </c>
      <c r="F17" s="168">
        <f t="shared" si="6"/>
        <v>-5884.7598745613541</v>
      </c>
      <c r="G17" s="175">
        <f t="shared" ref="G17:N17" si="7">G12-G15</f>
        <v>5487.1276737587759</v>
      </c>
      <c r="H17" s="169">
        <f t="shared" si="7"/>
        <v>534.16921413852106</v>
      </c>
      <c r="I17" s="175">
        <f t="shared" si="7"/>
        <v>-835.31640959599827</v>
      </c>
      <c r="J17" s="169">
        <f t="shared" si="7"/>
        <v>9141.8217890904089</v>
      </c>
      <c r="K17" s="176">
        <f t="shared" si="7"/>
        <v>3601.3805680115584</v>
      </c>
      <c r="L17" s="170">
        <f t="shared" si="7"/>
        <v>0</v>
      </c>
      <c r="M17" s="176">
        <f t="shared" si="7"/>
        <v>0</v>
      </c>
      <c r="N17" s="170">
        <f t="shared" si="7"/>
        <v>0</v>
      </c>
      <c r="O17" s="183"/>
    </row>
    <row r="18" spans="2:15">
      <c r="B18" s="47" t="s">
        <v>16</v>
      </c>
      <c r="C18" s="48">
        <f t="shared" ref="C18:F18" si="8">C17/C8</f>
        <v>-0.95605938971416871</v>
      </c>
      <c r="D18" s="48">
        <f t="shared" si="8"/>
        <v>-1.4647046953796117</v>
      </c>
      <c r="E18" s="118">
        <f t="shared" si="8"/>
        <v>-0.95496736482735611</v>
      </c>
      <c r="F18" s="48">
        <f t="shared" si="8"/>
        <v>-0.42246332291191807</v>
      </c>
      <c r="G18" s="49">
        <f t="shared" ref="G18:N18" si="9">G17/G8</f>
        <v>0.17277938389567277</v>
      </c>
      <c r="H18" s="50">
        <f t="shared" si="9"/>
        <v>2.1047685651070611E-2</v>
      </c>
      <c r="I18" s="49">
        <f t="shared" si="9"/>
        <v>-3.5583233635612277E-2</v>
      </c>
      <c r="J18" s="50">
        <f t="shared" si="9"/>
        <v>0.28224036248897533</v>
      </c>
      <c r="K18" s="51">
        <f t="shared" si="9"/>
        <v>0.1300103987855841</v>
      </c>
      <c r="L18" s="52" t="e">
        <f t="shared" si="9"/>
        <v>#DIV/0!</v>
      </c>
      <c r="M18" s="51" t="e">
        <f t="shared" si="9"/>
        <v>#DIV/0!</v>
      </c>
      <c r="N18" s="52" t="e">
        <f t="shared" si="9"/>
        <v>#DIV/0!</v>
      </c>
      <c r="O18" s="183"/>
    </row>
    <row r="19" spans="2:15">
      <c r="B19" s="179"/>
      <c r="C19" s="32"/>
      <c r="D19" s="32"/>
      <c r="E19" s="187"/>
      <c r="F19" s="32"/>
      <c r="G19" s="33"/>
      <c r="H19" s="34"/>
      <c r="I19" s="33"/>
      <c r="J19" s="34"/>
      <c r="K19" s="35"/>
      <c r="L19" s="36"/>
      <c r="M19" s="35"/>
      <c r="N19" s="36"/>
      <c r="O19" s="183"/>
    </row>
    <row r="20" spans="2:15">
      <c r="B20" s="47" t="s">
        <v>17</v>
      </c>
      <c r="C20" s="192">
        <v>1519.356128859999</v>
      </c>
      <c r="D20" s="192">
        <v>1411.5254766599992</v>
      </c>
      <c r="E20" s="191">
        <v>1276.0554899999988</v>
      </c>
      <c r="F20" s="192">
        <v>1275.3768999999984</v>
      </c>
      <c r="G20" s="107">
        <v>2262.7119714821874</v>
      </c>
      <c r="H20" s="108">
        <v>2641.1135511865355</v>
      </c>
      <c r="I20" s="107">
        <v>2534.5992417131497</v>
      </c>
      <c r="J20" s="108">
        <v>267.30617541805668</v>
      </c>
      <c r="K20" s="109">
        <v>2075.6131996645508</v>
      </c>
      <c r="L20" s="110"/>
      <c r="M20" s="109"/>
      <c r="N20" s="111"/>
      <c r="O20" s="183"/>
    </row>
    <row r="21" spans="2:15">
      <c r="B21" s="47" t="s">
        <v>18</v>
      </c>
      <c r="C21" s="192">
        <v>693.23172599889529</v>
      </c>
      <c r="D21" s="192">
        <v>589.89478565940078</v>
      </c>
      <c r="E21" s="192">
        <v>500.33163929199793</v>
      </c>
      <c r="F21" s="192">
        <v>-800.64389761396853</v>
      </c>
      <c r="G21" s="107">
        <v>596.13300000000004</v>
      </c>
      <c r="H21" s="108">
        <v>601.83399999999995</v>
      </c>
      <c r="I21" s="108">
        <v>562.60299999999995</v>
      </c>
      <c r="J21" s="108">
        <v>576.83100000000002</v>
      </c>
      <c r="K21" s="109">
        <v>553.58854270294444</v>
      </c>
      <c r="L21" s="110"/>
      <c r="M21" s="109"/>
      <c r="N21" s="111"/>
      <c r="O21" s="183"/>
    </row>
    <row r="22" spans="2:15">
      <c r="B22" s="47" t="s">
        <v>19</v>
      </c>
      <c r="C22" s="192"/>
      <c r="D22" s="192"/>
      <c r="E22" s="192"/>
      <c r="F22" s="192"/>
      <c r="G22" s="107">
        <v>0</v>
      </c>
      <c r="H22" s="108">
        <v>0</v>
      </c>
      <c r="I22" s="108">
        <v>0</v>
      </c>
      <c r="J22" s="108">
        <v>0</v>
      </c>
      <c r="K22" s="109"/>
      <c r="L22" s="110"/>
      <c r="M22" s="109"/>
      <c r="N22" s="111"/>
      <c r="O22" s="183"/>
    </row>
    <row r="23" spans="2:15">
      <c r="B23" s="180"/>
      <c r="C23" s="192"/>
      <c r="D23" s="192"/>
      <c r="E23" s="191"/>
      <c r="F23" s="192"/>
      <c r="G23" s="107"/>
      <c r="H23" s="108"/>
      <c r="I23" s="107"/>
      <c r="J23" s="108"/>
      <c r="K23" s="109"/>
      <c r="L23" s="110"/>
      <c r="M23" s="109"/>
      <c r="N23" s="111"/>
      <c r="O23" s="183"/>
    </row>
    <row r="24" spans="2:15">
      <c r="B24" s="178" t="s">
        <v>20</v>
      </c>
      <c r="C24" s="168">
        <f>C17-C20-C21-C22</f>
        <v>-15089.867959661597</v>
      </c>
      <c r="D24" s="168">
        <f t="shared" ref="D24:F24" si="10">D17-D20-D21-D22</f>
        <v>-16002.987926847316</v>
      </c>
      <c r="E24" s="188">
        <f t="shared" si="10"/>
        <v>-16676.157731123836</v>
      </c>
      <c r="F24" s="168">
        <f t="shared" si="10"/>
        <v>-6359.4928769473836</v>
      </c>
      <c r="G24" s="175">
        <f>G17-G20-G21-G22</f>
        <v>2628.2827022765887</v>
      </c>
      <c r="H24" s="169">
        <f t="shared" ref="H24:N24" si="11">H17-H20-H21-H22</f>
        <v>-2708.7783370480142</v>
      </c>
      <c r="I24" s="175">
        <f t="shared" si="11"/>
        <v>-3932.518651309148</v>
      </c>
      <c r="J24" s="169">
        <f t="shared" si="11"/>
        <v>8297.6846136723525</v>
      </c>
      <c r="K24" s="176">
        <f t="shared" si="11"/>
        <v>972.17882564406307</v>
      </c>
      <c r="L24" s="170">
        <f t="shared" si="11"/>
        <v>0</v>
      </c>
      <c r="M24" s="176">
        <f t="shared" si="11"/>
        <v>0</v>
      </c>
      <c r="N24" s="170">
        <f t="shared" si="11"/>
        <v>0</v>
      </c>
      <c r="O24" s="183"/>
    </row>
    <row r="25" spans="2:15">
      <c r="B25" s="47" t="s">
        <v>21</v>
      </c>
      <c r="C25" s="118">
        <f>C24/C8</f>
        <v>-1.1203305228253009</v>
      </c>
      <c r="D25" s="118">
        <f t="shared" ref="D25:F25" si="12">D24/D8</f>
        <v>-1.6740733693655869</v>
      </c>
      <c r="E25" s="118">
        <f t="shared" si="12"/>
        <v>-1.0688209120467105</v>
      </c>
      <c r="F25" s="118">
        <f t="shared" si="12"/>
        <v>-0.45654411566455405</v>
      </c>
      <c r="G25" s="49">
        <f>G24/G8</f>
        <v>8.2759704713035731E-2</v>
      </c>
      <c r="H25" s="49">
        <f t="shared" ref="H25:N25" si="13">H24/H8</f>
        <v>-0.10673306028795516</v>
      </c>
      <c r="I25" s="49">
        <f t="shared" si="13"/>
        <v>-0.16751943136567191</v>
      </c>
      <c r="J25" s="49">
        <f t="shared" si="13"/>
        <v>0.2561788631645483</v>
      </c>
      <c r="K25" s="51">
        <f t="shared" si="13"/>
        <v>3.5095806851279658E-2</v>
      </c>
      <c r="L25" s="51" t="e">
        <f t="shared" si="13"/>
        <v>#DIV/0!</v>
      </c>
      <c r="M25" s="51" t="e">
        <f t="shared" si="13"/>
        <v>#DIV/0!</v>
      </c>
      <c r="N25" s="51" t="e">
        <f t="shared" si="13"/>
        <v>#DIV/0!</v>
      </c>
      <c r="O25" s="183"/>
    </row>
    <row r="26" spans="2:15">
      <c r="B26" s="47"/>
      <c r="C26" s="119"/>
      <c r="D26" s="119"/>
      <c r="E26" s="119"/>
      <c r="F26" s="119"/>
      <c r="G26" s="120"/>
      <c r="H26" s="120"/>
      <c r="I26" s="120"/>
      <c r="J26" s="120"/>
      <c r="K26" s="121"/>
      <c r="L26" s="121"/>
      <c r="M26" s="121"/>
      <c r="N26" s="121"/>
      <c r="O26" s="183"/>
    </row>
    <row r="27" spans="2:15" ht="33" customHeight="1">
      <c r="B27" s="230" t="s">
        <v>22</v>
      </c>
      <c r="C27" s="230"/>
      <c r="D27" s="230"/>
      <c r="E27" s="230"/>
      <c r="F27" s="230"/>
      <c r="G27" s="230"/>
      <c r="H27" s="230"/>
      <c r="I27" s="230"/>
      <c r="J27" s="230"/>
      <c r="K27" s="230"/>
      <c r="L27" s="230"/>
      <c r="M27" s="230"/>
      <c r="N27" s="230"/>
      <c r="O27" s="230"/>
    </row>
    <row r="35" spans="4:4">
      <c r="D35">
        <v>1000</v>
      </c>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3"/>
  <sheetViews>
    <sheetView tabSelected="1" view="pageBreakPreview" zoomScale="80" zoomScaleNormal="100" zoomScaleSheetLayoutView="80" workbookViewId="0">
      <selection activeCell="H32" sqref="H32"/>
    </sheetView>
  </sheetViews>
  <sheetFormatPr defaultRowHeight="14.5"/>
  <cols>
    <col min="1" max="1" width="2.1796875" customWidth="1"/>
    <col min="2" max="2" width="42.453125" customWidth="1"/>
    <col min="3" max="14" width="10.7265625" customWidth="1"/>
    <col min="15" max="15" width="3" customWidth="1"/>
  </cols>
  <sheetData>
    <row r="1" spans="2:25" ht="15" thickBot="1"/>
    <row r="2" spans="2:25" ht="16" thickBot="1">
      <c r="B2" s="1" t="s">
        <v>28</v>
      </c>
      <c r="C2" s="69"/>
      <c r="D2" s="69"/>
      <c r="E2" s="69"/>
      <c r="F2" s="69"/>
      <c r="G2" s="69"/>
      <c r="H2" s="69"/>
      <c r="I2" s="69"/>
      <c r="J2" s="69"/>
      <c r="K2" s="69"/>
      <c r="L2" s="69"/>
      <c r="M2" s="69"/>
      <c r="N2" s="69"/>
      <c r="O2" s="20"/>
    </row>
    <row r="3" spans="2:25" ht="15" thickBot="1">
      <c r="B3" s="70" t="s">
        <v>27</v>
      </c>
      <c r="C3" s="231">
        <v>2016</v>
      </c>
      <c r="D3" s="232"/>
      <c r="E3" s="232"/>
      <c r="F3" s="233"/>
      <c r="G3" s="224">
        <v>2017</v>
      </c>
      <c r="H3" s="225"/>
      <c r="I3" s="225"/>
      <c r="J3" s="226"/>
      <c r="K3" s="227">
        <v>2018</v>
      </c>
      <c r="L3" s="228"/>
      <c r="M3" s="228"/>
      <c r="N3" s="229"/>
      <c r="O3" s="24"/>
    </row>
    <row r="4" spans="2:25" ht="15" thickBot="1">
      <c r="B4" s="8" t="s">
        <v>1</v>
      </c>
      <c r="C4" s="189" t="s">
        <v>2</v>
      </c>
      <c r="D4" s="189" t="s">
        <v>3</v>
      </c>
      <c r="E4" s="189" t="s">
        <v>4</v>
      </c>
      <c r="F4" s="190" t="s">
        <v>5</v>
      </c>
      <c r="G4" s="71" t="s">
        <v>2</v>
      </c>
      <c r="H4" s="71" t="s">
        <v>3</v>
      </c>
      <c r="I4" s="71" t="s">
        <v>4</v>
      </c>
      <c r="J4" s="72" t="s">
        <v>5</v>
      </c>
      <c r="K4" s="73" t="s">
        <v>2</v>
      </c>
      <c r="L4" s="73" t="s">
        <v>3</v>
      </c>
      <c r="M4" s="73" t="s">
        <v>4</v>
      </c>
      <c r="N4" s="74" t="s">
        <v>5</v>
      </c>
      <c r="O4" s="24"/>
    </row>
    <row r="5" spans="2:25">
      <c r="B5" s="75" t="s">
        <v>9</v>
      </c>
      <c r="C5" s="76">
        <v>210286</v>
      </c>
      <c r="D5" s="76">
        <v>227975</v>
      </c>
      <c r="E5" s="76">
        <v>197493</v>
      </c>
      <c r="F5" s="76">
        <v>241411</v>
      </c>
      <c r="G5" s="77">
        <v>235666</v>
      </c>
      <c r="H5" s="77">
        <v>240069</v>
      </c>
      <c r="I5" s="77">
        <v>233229</v>
      </c>
      <c r="J5" s="77">
        <v>264511</v>
      </c>
      <c r="K5" s="78">
        <v>204225</v>
      </c>
      <c r="L5" s="78"/>
      <c r="M5" s="78"/>
      <c r="N5" s="78"/>
      <c r="O5" s="24"/>
      <c r="Q5" s="18"/>
      <c r="R5" s="18"/>
      <c r="S5" s="18"/>
      <c r="T5" s="18"/>
      <c r="U5" s="18"/>
      <c r="V5" s="18"/>
      <c r="W5" s="18"/>
      <c r="X5" s="18"/>
      <c r="Y5" s="18"/>
    </row>
    <row r="6" spans="2:25">
      <c r="B6" s="79"/>
      <c r="C6" s="80"/>
      <c r="D6" s="80"/>
      <c r="E6" s="80"/>
      <c r="F6" s="80"/>
      <c r="G6" s="81"/>
      <c r="H6" s="81"/>
      <c r="I6" s="81"/>
      <c r="J6" s="81"/>
      <c r="K6" s="82"/>
      <c r="L6" s="82"/>
      <c r="M6" s="82"/>
      <c r="N6" s="82"/>
      <c r="O6" s="24"/>
    </row>
    <row r="7" spans="2:25">
      <c r="B7" s="79" t="s">
        <v>29</v>
      </c>
      <c r="C7" s="80">
        <v>61453</v>
      </c>
      <c r="D7" s="80">
        <v>68415</v>
      </c>
      <c r="E7" s="80">
        <v>50378</v>
      </c>
      <c r="F7" s="80">
        <v>101243</v>
      </c>
      <c r="G7" s="81">
        <v>74794</v>
      </c>
      <c r="H7" s="81">
        <v>80170</v>
      </c>
      <c r="I7" s="81">
        <v>58026</v>
      </c>
      <c r="J7" s="81">
        <v>65503</v>
      </c>
      <c r="K7" s="82">
        <v>44243</v>
      </c>
      <c r="L7" s="82"/>
      <c r="M7" s="82"/>
      <c r="N7" s="82"/>
      <c r="O7" s="24"/>
      <c r="Q7" s="18"/>
      <c r="R7" s="18"/>
      <c r="S7" s="18"/>
      <c r="T7" s="18"/>
      <c r="U7" s="18"/>
      <c r="V7" s="18"/>
      <c r="W7" s="18"/>
      <c r="X7" s="18"/>
      <c r="Y7" s="18"/>
    </row>
    <row r="8" spans="2:25">
      <c r="B8" s="79" t="s">
        <v>11</v>
      </c>
      <c r="C8" s="80">
        <v>29761</v>
      </c>
      <c r="D8" s="80">
        <v>29910</v>
      </c>
      <c r="E8" s="80">
        <v>35928</v>
      </c>
      <c r="F8" s="80">
        <v>25167</v>
      </c>
      <c r="G8" s="81">
        <v>22299</v>
      </c>
      <c r="H8" s="81">
        <v>24314</v>
      </c>
      <c r="I8" s="81">
        <v>27544</v>
      </c>
      <c r="J8" s="81">
        <v>29777</v>
      </c>
      <c r="K8" s="82">
        <v>22878</v>
      </c>
      <c r="L8" s="82"/>
      <c r="M8" s="82"/>
      <c r="N8" s="82"/>
      <c r="O8" s="24"/>
      <c r="Q8" s="18"/>
      <c r="R8" s="18"/>
      <c r="S8" s="18"/>
      <c r="T8" s="18"/>
      <c r="U8" s="18"/>
      <c r="V8" s="18"/>
      <c r="W8" s="18"/>
      <c r="X8" s="18"/>
      <c r="Y8" s="18"/>
    </row>
    <row r="9" spans="2:25">
      <c r="B9" s="79" t="s">
        <v>30</v>
      </c>
      <c r="C9" s="80">
        <v>79351</v>
      </c>
      <c r="D9" s="80">
        <v>72574</v>
      </c>
      <c r="E9" s="80">
        <v>89621</v>
      </c>
      <c r="F9" s="80">
        <v>66695</v>
      </c>
      <c r="G9" s="81">
        <v>85065</v>
      </c>
      <c r="H9" s="81">
        <v>69597</v>
      </c>
      <c r="I9" s="81">
        <v>75370</v>
      </c>
      <c r="J9" s="81">
        <v>88698</v>
      </c>
      <c r="K9" s="82">
        <v>80675</v>
      </c>
      <c r="L9" s="82"/>
      <c r="M9" s="82"/>
      <c r="N9" s="82"/>
      <c r="O9" s="24"/>
    </row>
    <row r="10" spans="2:25">
      <c r="B10" s="83" t="s">
        <v>31</v>
      </c>
      <c r="C10" s="84">
        <v>35153</v>
      </c>
      <c r="D10" s="84">
        <v>47795</v>
      </c>
      <c r="E10" s="84">
        <v>46764</v>
      </c>
      <c r="F10" s="84">
        <v>41303</v>
      </c>
      <c r="G10" s="85">
        <v>37287</v>
      </c>
      <c r="H10" s="85">
        <v>44582</v>
      </c>
      <c r="I10" s="85">
        <v>66934</v>
      </c>
      <c r="J10" s="85">
        <v>40924</v>
      </c>
      <c r="K10" s="86">
        <v>40323</v>
      </c>
      <c r="L10" s="86"/>
      <c r="M10" s="86"/>
      <c r="N10" s="86"/>
      <c r="O10" s="24"/>
      <c r="Q10" s="18"/>
      <c r="R10" s="18"/>
      <c r="S10" s="18"/>
      <c r="T10" s="18"/>
      <c r="U10" s="18"/>
      <c r="V10" s="18"/>
      <c r="W10" s="18"/>
      <c r="X10" s="18"/>
      <c r="Y10" s="18"/>
    </row>
    <row r="11" spans="2:25">
      <c r="B11" s="79" t="s">
        <v>32</v>
      </c>
      <c r="C11" s="80">
        <f t="shared" ref="C11:F11" si="0">SUM(C7:C10)</f>
        <v>205718</v>
      </c>
      <c r="D11" s="80">
        <f t="shared" si="0"/>
        <v>218694</v>
      </c>
      <c r="E11" s="80">
        <f t="shared" si="0"/>
        <v>222691</v>
      </c>
      <c r="F11" s="80">
        <f t="shared" si="0"/>
        <v>234408</v>
      </c>
      <c r="G11" s="81">
        <f t="shared" ref="G11:N11" si="1">SUM(G7:G10)</f>
        <v>219445</v>
      </c>
      <c r="H11" s="81">
        <f t="shared" si="1"/>
        <v>218663</v>
      </c>
      <c r="I11" s="81">
        <f t="shared" si="1"/>
        <v>227874</v>
      </c>
      <c r="J11" s="81">
        <f t="shared" si="1"/>
        <v>224902</v>
      </c>
      <c r="K11" s="82">
        <f t="shared" si="1"/>
        <v>188119</v>
      </c>
      <c r="L11" s="82">
        <f t="shared" si="1"/>
        <v>0</v>
      </c>
      <c r="M11" s="82">
        <f t="shared" si="1"/>
        <v>0</v>
      </c>
      <c r="N11" s="82">
        <f t="shared" si="1"/>
        <v>0</v>
      </c>
      <c r="O11" s="24"/>
    </row>
    <row r="12" spans="2:25">
      <c r="B12" s="79"/>
      <c r="C12" s="80"/>
      <c r="D12" s="80"/>
      <c r="E12" s="80"/>
      <c r="F12" s="80"/>
      <c r="G12" s="81"/>
      <c r="H12" s="81"/>
      <c r="I12" s="81"/>
      <c r="J12" s="81"/>
      <c r="K12" s="82"/>
      <c r="L12" s="82"/>
      <c r="M12" s="82"/>
      <c r="N12" s="82"/>
      <c r="O12" s="24"/>
      <c r="Q12" s="18"/>
      <c r="R12" s="18"/>
      <c r="S12" s="18"/>
      <c r="T12" s="18"/>
      <c r="U12" s="18"/>
      <c r="V12" s="18"/>
      <c r="W12" s="18"/>
      <c r="X12" s="18"/>
      <c r="Y12" s="18"/>
    </row>
    <row r="13" spans="2:25">
      <c r="B13" s="87" t="s">
        <v>44</v>
      </c>
      <c r="C13" s="88">
        <f t="shared" ref="C13:F13" si="2">+C5-C11</f>
        <v>4568</v>
      </c>
      <c r="D13" s="88">
        <f t="shared" si="2"/>
        <v>9281</v>
      </c>
      <c r="E13" s="88">
        <f t="shared" si="2"/>
        <v>-25198</v>
      </c>
      <c r="F13" s="88">
        <f t="shared" si="2"/>
        <v>7003</v>
      </c>
      <c r="G13" s="89">
        <f t="shared" ref="G13:N13" si="3">+G5-G11</f>
        <v>16221</v>
      </c>
      <c r="H13" s="89">
        <f t="shared" si="3"/>
        <v>21406</v>
      </c>
      <c r="I13" s="89">
        <f t="shared" si="3"/>
        <v>5355</v>
      </c>
      <c r="J13" s="89">
        <f t="shared" si="3"/>
        <v>39609</v>
      </c>
      <c r="K13" s="90">
        <f t="shared" si="3"/>
        <v>16106</v>
      </c>
      <c r="L13" s="90">
        <f t="shared" si="3"/>
        <v>0</v>
      </c>
      <c r="M13" s="90">
        <f t="shared" si="3"/>
        <v>0</v>
      </c>
      <c r="N13" s="90">
        <f t="shared" si="3"/>
        <v>0</v>
      </c>
      <c r="O13" s="24"/>
    </row>
    <row r="14" spans="2:25">
      <c r="B14" s="79"/>
      <c r="C14" s="80"/>
      <c r="D14" s="80"/>
      <c r="E14" s="80"/>
      <c r="F14" s="80"/>
      <c r="G14" s="81"/>
      <c r="H14" s="81"/>
      <c r="I14" s="81"/>
      <c r="J14" s="81"/>
      <c r="K14" s="82"/>
      <c r="L14" s="82"/>
      <c r="M14" s="82"/>
      <c r="N14" s="82"/>
      <c r="O14" s="24"/>
      <c r="Q14" s="18"/>
      <c r="R14" s="18"/>
      <c r="S14" s="18"/>
      <c r="T14" s="18"/>
      <c r="U14" s="18"/>
      <c r="V14" s="18"/>
      <c r="W14" s="18"/>
      <c r="X14" s="18"/>
      <c r="Y14" s="18"/>
    </row>
    <row r="15" spans="2:25">
      <c r="B15" s="79" t="s">
        <v>33</v>
      </c>
      <c r="C15" s="80">
        <v>13672</v>
      </c>
      <c r="D15" s="80">
        <v>13269</v>
      </c>
      <c r="E15" s="80">
        <v>13242</v>
      </c>
      <c r="F15" s="80">
        <v>14578</v>
      </c>
      <c r="G15" s="81">
        <v>14389</v>
      </c>
      <c r="H15" s="81">
        <v>14514</v>
      </c>
      <c r="I15" s="81">
        <v>13916</v>
      </c>
      <c r="J15" s="81">
        <v>13669</v>
      </c>
      <c r="K15" s="82">
        <v>12410</v>
      </c>
      <c r="L15" s="82"/>
      <c r="M15" s="82"/>
      <c r="N15" s="82"/>
      <c r="O15" s="24"/>
    </row>
    <row r="16" spans="2:25">
      <c r="B16" s="79" t="s">
        <v>19</v>
      </c>
      <c r="C16" s="80">
        <v>0</v>
      </c>
      <c r="D16" s="80">
        <v>0</v>
      </c>
      <c r="E16" s="80">
        <v>0</v>
      </c>
      <c r="F16" s="80">
        <v>0</v>
      </c>
      <c r="G16" s="81">
        <v>0</v>
      </c>
      <c r="H16" s="81">
        <v>0</v>
      </c>
      <c r="I16" s="81">
        <v>0</v>
      </c>
      <c r="J16" s="81">
        <v>21876</v>
      </c>
      <c r="K16" s="82">
        <v>0</v>
      </c>
      <c r="L16" s="82"/>
      <c r="M16" s="82"/>
      <c r="N16" s="82"/>
      <c r="O16" s="24"/>
      <c r="Q16" s="18"/>
      <c r="R16" s="18"/>
      <c r="S16" s="18"/>
      <c r="T16" s="18"/>
      <c r="U16" s="18"/>
      <c r="V16" s="18"/>
      <c r="W16" s="18"/>
      <c r="X16" s="18"/>
      <c r="Y16" s="18"/>
    </row>
    <row r="17" spans="2:25">
      <c r="B17" s="79"/>
      <c r="C17" s="80"/>
      <c r="D17" s="80"/>
      <c r="E17" s="80"/>
      <c r="F17" s="80"/>
      <c r="G17" s="81"/>
      <c r="H17" s="81"/>
      <c r="I17" s="81"/>
      <c r="J17" s="81"/>
      <c r="K17" s="82"/>
      <c r="L17" s="82"/>
      <c r="M17" s="82"/>
      <c r="N17" s="82"/>
      <c r="O17" s="24"/>
    </row>
    <row r="18" spans="2:25">
      <c r="B18" s="87" t="s">
        <v>45</v>
      </c>
      <c r="C18" s="88">
        <f>C13-C15-C16</f>
        <v>-9104</v>
      </c>
      <c r="D18" s="88">
        <f t="shared" ref="D18:F18" si="4">D13-D15-D16</f>
        <v>-3988</v>
      </c>
      <c r="E18" s="88">
        <f t="shared" si="4"/>
        <v>-38440</v>
      </c>
      <c r="F18" s="88">
        <f t="shared" si="4"/>
        <v>-7575</v>
      </c>
      <c r="G18" s="89">
        <f>G13-G15-G16</f>
        <v>1832</v>
      </c>
      <c r="H18" s="89">
        <f t="shared" ref="H18:N18" si="5">H13-H15-H16</f>
        <v>6892</v>
      </c>
      <c r="I18" s="89">
        <f t="shared" si="5"/>
        <v>-8561</v>
      </c>
      <c r="J18" s="89">
        <f t="shared" si="5"/>
        <v>4064</v>
      </c>
      <c r="K18" s="90">
        <f t="shared" si="5"/>
        <v>3696</v>
      </c>
      <c r="L18" s="90">
        <f t="shared" si="5"/>
        <v>0</v>
      </c>
      <c r="M18" s="90">
        <f t="shared" si="5"/>
        <v>0</v>
      </c>
      <c r="N18" s="90">
        <f t="shared" si="5"/>
        <v>0</v>
      </c>
      <c r="O18" s="24"/>
      <c r="Q18" s="18"/>
      <c r="R18" s="18"/>
      <c r="S18" s="18"/>
      <c r="T18" s="18"/>
      <c r="U18" s="18"/>
      <c r="V18" s="18"/>
      <c r="W18" s="18"/>
      <c r="X18" s="18"/>
      <c r="Y18" s="18"/>
    </row>
    <row r="19" spans="2:25">
      <c r="B19" s="79"/>
      <c r="C19" s="80"/>
      <c r="D19" s="80"/>
      <c r="E19" s="80"/>
      <c r="F19" s="80"/>
      <c r="G19" s="81"/>
      <c r="H19" s="81"/>
      <c r="I19" s="81"/>
      <c r="J19" s="81"/>
      <c r="K19" s="82"/>
      <c r="L19" s="82"/>
      <c r="M19" s="82"/>
      <c r="N19" s="82"/>
      <c r="O19" s="24"/>
    </row>
    <row r="20" spans="2:25">
      <c r="B20" s="79" t="s">
        <v>34</v>
      </c>
      <c r="C20" s="80">
        <v>4743</v>
      </c>
      <c r="D20" s="80">
        <v>21550</v>
      </c>
      <c r="E20" s="80">
        <v>158</v>
      </c>
      <c r="F20" s="80">
        <v>13260</v>
      </c>
      <c r="G20" s="81">
        <v>7240</v>
      </c>
      <c r="H20" s="81">
        <v>4595</v>
      </c>
      <c r="I20" s="81">
        <v>3105</v>
      </c>
      <c r="J20" s="81">
        <v>14643</v>
      </c>
      <c r="K20" s="82">
        <v>12047</v>
      </c>
      <c r="L20" s="82"/>
      <c r="M20" s="82"/>
      <c r="N20" s="82"/>
      <c r="O20" s="24"/>
    </row>
    <row r="21" spans="2:25">
      <c r="B21" s="83" t="s">
        <v>35</v>
      </c>
      <c r="C21" s="84">
        <v>-7453</v>
      </c>
      <c r="D21" s="84">
        <v>-13736</v>
      </c>
      <c r="E21" s="84">
        <v>-7201</v>
      </c>
      <c r="F21" s="84">
        <v>-7835</v>
      </c>
      <c r="G21" s="85">
        <v>-6826</v>
      </c>
      <c r="H21" s="85">
        <v>-10789</v>
      </c>
      <c r="I21" s="85">
        <v>-14597</v>
      </c>
      <c r="J21" s="85">
        <v>-11124</v>
      </c>
      <c r="K21" s="86">
        <v>-17230</v>
      </c>
      <c r="L21" s="86"/>
      <c r="M21" s="86"/>
      <c r="N21" s="86"/>
      <c r="O21" s="24"/>
    </row>
    <row r="22" spans="2:25">
      <c r="B22" s="79" t="s">
        <v>36</v>
      </c>
      <c r="C22" s="80">
        <f t="shared" ref="C22:F22" si="6">SUM(C20:C21)</f>
        <v>-2710</v>
      </c>
      <c r="D22" s="80">
        <f t="shared" si="6"/>
        <v>7814</v>
      </c>
      <c r="E22" s="80">
        <f t="shared" si="6"/>
        <v>-7043</v>
      </c>
      <c r="F22" s="80">
        <f t="shared" si="6"/>
        <v>5425</v>
      </c>
      <c r="G22" s="81">
        <f t="shared" ref="G22:N22" si="7">SUM(G20:G21)</f>
        <v>414</v>
      </c>
      <c r="H22" s="81">
        <f t="shared" si="7"/>
        <v>-6194</v>
      </c>
      <c r="I22" s="81">
        <f t="shared" si="7"/>
        <v>-11492</v>
      </c>
      <c r="J22" s="81">
        <f t="shared" si="7"/>
        <v>3519</v>
      </c>
      <c r="K22" s="82">
        <f t="shared" si="7"/>
        <v>-5183</v>
      </c>
      <c r="L22" s="82">
        <f t="shared" si="7"/>
        <v>0</v>
      </c>
      <c r="M22" s="82">
        <f t="shared" si="7"/>
        <v>0</v>
      </c>
      <c r="N22" s="82">
        <f t="shared" si="7"/>
        <v>0</v>
      </c>
      <c r="O22" s="24"/>
      <c r="Q22" s="18"/>
      <c r="R22" s="18"/>
      <c r="S22" s="18"/>
      <c r="T22" s="18"/>
      <c r="U22" s="18"/>
      <c r="V22" s="18"/>
      <c r="W22" s="18"/>
      <c r="X22" s="18"/>
      <c r="Y22" s="18"/>
    </row>
    <row r="23" spans="2:25">
      <c r="B23" s="79"/>
      <c r="C23" s="80"/>
      <c r="D23" s="80"/>
      <c r="E23" s="80"/>
      <c r="F23" s="80"/>
      <c r="G23" s="81"/>
      <c r="H23" s="81"/>
      <c r="I23" s="81"/>
      <c r="J23" s="81"/>
      <c r="K23" s="82"/>
      <c r="L23" s="82"/>
      <c r="M23" s="82"/>
      <c r="N23" s="82"/>
      <c r="O23" s="24"/>
    </row>
    <row r="24" spans="2:25">
      <c r="B24" s="87" t="s">
        <v>37</v>
      </c>
      <c r="C24" s="88">
        <f t="shared" ref="C24:F24" si="8">+C18+C22</f>
        <v>-11814</v>
      </c>
      <c r="D24" s="88">
        <f t="shared" si="8"/>
        <v>3826</v>
      </c>
      <c r="E24" s="88">
        <f t="shared" si="8"/>
        <v>-45483</v>
      </c>
      <c r="F24" s="88">
        <f t="shared" si="8"/>
        <v>-2150</v>
      </c>
      <c r="G24" s="89">
        <f t="shared" ref="G24:N24" si="9">+G18+G22</f>
        <v>2246</v>
      </c>
      <c r="H24" s="89">
        <f t="shared" si="9"/>
        <v>698</v>
      </c>
      <c r="I24" s="89">
        <f t="shared" si="9"/>
        <v>-20053</v>
      </c>
      <c r="J24" s="89">
        <f t="shared" si="9"/>
        <v>7583</v>
      </c>
      <c r="K24" s="90">
        <f t="shared" si="9"/>
        <v>-1487</v>
      </c>
      <c r="L24" s="90">
        <f t="shared" si="9"/>
        <v>0</v>
      </c>
      <c r="M24" s="90">
        <f t="shared" si="9"/>
        <v>0</v>
      </c>
      <c r="N24" s="90">
        <f t="shared" si="9"/>
        <v>0</v>
      </c>
      <c r="O24" s="24"/>
    </row>
    <row r="25" spans="2:25">
      <c r="B25" s="79"/>
      <c r="C25" s="80"/>
      <c r="D25" s="80"/>
      <c r="E25" s="80"/>
      <c r="F25" s="80"/>
      <c r="G25" s="81"/>
      <c r="H25" s="81"/>
      <c r="I25" s="81"/>
      <c r="J25" s="81"/>
      <c r="K25" s="82"/>
      <c r="L25" s="82"/>
      <c r="M25" s="82"/>
      <c r="N25" s="82"/>
      <c r="O25" s="24"/>
    </row>
    <row r="26" spans="2:25">
      <c r="B26" s="79" t="s">
        <v>38</v>
      </c>
      <c r="C26" s="80">
        <v>4035</v>
      </c>
      <c r="D26" s="80">
        <v>-3981</v>
      </c>
      <c r="E26" s="80">
        <v>5666</v>
      </c>
      <c r="F26" s="80">
        <v>-3518</v>
      </c>
      <c r="G26" s="81">
        <v>-2518</v>
      </c>
      <c r="H26" s="81">
        <v>-306</v>
      </c>
      <c r="I26" s="81">
        <v>1377</v>
      </c>
      <c r="J26" s="81">
        <v>-290</v>
      </c>
      <c r="K26" s="82">
        <v>-2246</v>
      </c>
      <c r="L26" s="82"/>
      <c r="M26" s="82"/>
      <c r="N26" s="82"/>
      <c r="O26" s="24"/>
    </row>
    <row r="27" spans="2:25">
      <c r="B27" s="79"/>
      <c r="C27" s="80"/>
      <c r="D27" s="80"/>
      <c r="E27" s="80"/>
      <c r="F27" s="80"/>
      <c r="G27" s="81"/>
      <c r="H27" s="81"/>
      <c r="I27" s="81"/>
      <c r="J27" s="81"/>
      <c r="K27" s="82"/>
      <c r="L27" s="82"/>
      <c r="M27" s="82"/>
      <c r="N27" s="82"/>
      <c r="O27" s="24"/>
    </row>
    <row r="28" spans="2:25">
      <c r="B28" s="91" t="s">
        <v>39</v>
      </c>
      <c r="C28" s="92">
        <v>-7779</v>
      </c>
      <c r="D28" s="92">
        <v>-155</v>
      </c>
      <c r="E28" s="92">
        <v>-39817</v>
      </c>
      <c r="F28" s="92">
        <v>-5668</v>
      </c>
      <c r="G28" s="93">
        <v>-272</v>
      </c>
      <c r="H28" s="93">
        <v>392</v>
      </c>
      <c r="I28" s="93">
        <v>-18676</v>
      </c>
      <c r="J28" s="93">
        <v>7293</v>
      </c>
      <c r="K28" s="94">
        <v>-3733</v>
      </c>
      <c r="L28" s="94"/>
      <c r="M28" s="94"/>
      <c r="N28" s="94"/>
      <c r="O28" s="24"/>
    </row>
    <row r="29" spans="2:25">
      <c r="B29" s="83" t="s">
        <v>40</v>
      </c>
      <c r="C29" s="84">
        <v>70</v>
      </c>
      <c r="D29" s="84">
        <v>1191</v>
      </c>
      <c r="E29" s="84">
        <v>-1476</v>
      </c>
      <c r="F29" s="84">
        <v>-29998</v>
      </c>
      <c r="G29" s="85">
        <v>0</v>
      </c>
      <c r="H29" s="85">
        <v>0</v>
      </c>
      <c r="I29" s="85"/>
      <c r="J29" s="85">
        <v>-9462</v>
      </c>
      <c r="K29" s="86">
        <v>0</v>
      </c>
      <c r="L29" s="86"/>
      <c r="M29" s="86"/>
      <c r="N29" s="86"/>
      <c r="O29" s="24"/>
    </row>
    <row r="30" spans="2:25">
      <c r="B30" s="178" t="s">
        <v>41</v>
      </c>
      <c r="C30" s="88">
        <f t="shared" ref="C30:F30" si="10">SUM(C28:C29)</f>
        <v>-7709</v>
      </c>
      <c r="D30" s="88">
        <f t="shared" si="10"/>
        <v>1036</v>
      </c>
      <c r="E30" s="88">
        <f t="shared" si="10"/>
        <v>-41293</v>
      </c>
      <c r="F30" s="88">
        <f t="shared" si="10"/>
        <v>-35666</v>
      </c>
      <c r="G30" s="89">
        <f t="shared" ref="G30:N30" si="11">SUM(G28:G29)</f>
        <v>-272</v>
      </c>
      <c r="H30" s="89">
        <f t="shared" si="11"/>
        <v>392</v>
      </c>
      <c r="I30" s="89">
        <f t="shared" si="11"/>
        <v>-18676</v>
      </c>
      <c r="J30" s="89">
        <f t="shared" si="11"/>
        <v>-2169</v>
      </c>
      <c r="K30" s="90">
        <f t="shared" si="11"/>
        <v>-3733</v>
      </c>
      <c r="L30" s="90">
        <f t="shared" si="11"/>
        <v>0</v>
      </c>
      <c r="M30" s="90">
        <f t="shared" si="11"/>
        <v>0</v>
      </c>
      <c r="N30" s="90">
        <f t="shared" si="11"/>
        <v>0</v>
      </c>
      <c r="O30" s="24"/>
    </row>
    <row r="31" spans="2:25">
      <c r="B31" s="112"/>
      <c r="C31" s="80"/>
      <c r="D31" s="80"/>
      <c r="E31" s="80"/>
      <c r="F31" s="80"/>
      <c r="G31" s="81"/>
      <c r="H31" s="81"/>
      <c r="I31" s="81"/>
      <c r="J31" s="81"/>
      <c r="K31" s="82"/>
      <c r="L31" s="82"/>
      <c r="M31" s="82"/>
      <c r="N31" s="82"/>
      <c r="O31" s="24"/>
    </row>
    <row r="32" spans="2:25" ht="15.5">
      <c r="B32" s="9"/>
      <c r="C32" s="27"/>
      <c r="D32" s="27"/>
      <c r="E32" s="194"/>
      <c r="F32" s="27"/>
      <c r="G32" s="30"/>
      <c r="H32" s="28"/>
      <c r="I32" s="30"/>
      <c r="J32" s="28"/>
      <c r="K32" s="31"/>
      <c r="L32" s="29"/>
      <c r="M32" s="31"/>
      <c r="N32" s="29"/>
      <c r="O32" s="24"/>
    </row>
    <row r="33" spans="1:15">
      <c r="B33" s="47" t="s">
        <v>46</v>
      </c>
      <c r="C33" s="48">
        <f>SUM(C5-C7-C8)/C5</f>
        <v>0.56623836108918335</v>
      </c>
      <c r="D33" s="48">
        <f t="shared" ref="D33:K33" si="12">SUM(D5-D7-D8)/D5</f>
        <v>0.56870270863033223</v>
      </c>
      <c r="E33" s="118">
        <f t="shared" si="12"/>
        <v>0.56299210604932837</v>
      </c>
      <c r="F33" s="48">
        <f t="shared" si="12"/>
        <v>0.47637017368719736</v>
      </c>
      <c r="G33" s="49">
        <f t="shared" si="12"/>
        <v>0.58800590666451669</v>
      </c>
      <c r="H33" s="50">
        <f t="shared" si="12"/>
        <v>0.56477512715094413</v>
      </c>
      <c r="I33" s="49">
        <f t="shared" si="12"/>
        <v>0.63310737515489068</v>
      </c>
      <c r="J33" s="50">
        <f t="shared" si="12"/>
        <v>0.63978813735534623</v>
      </c>
      <c r="K33" s="51">
        <f t="shared" si="12"/>
        <v>0.67133798506549147</v>
      </c>
      <c r="L33" s="52"/>
      <c r="M33" s="51"/>
      <c r="N33" s="52"/>
      <c r="O33" s="20"/>
    </row>
    <row r="34" spans="1:15">
      <c r="B34" s="53" t="s">
        <v>16</v>
      </c>
      <c r="C34" s="48">
        <f t="shared" ref="C34:K34" si="13">C13/C5</f>
        <v>2.1722796572287265E-2</v>
      </c>
      <c r="D34" s="48">
        <f t="shared" si="13"/>
        <v>4.0710604232920278E-2</v>
      </c>
      <c r="E34" s="118">
        <f t="shared" si="13"/>
        <v>-0.12758933228013145</v>
      </c>
      <c r="F34" s="48">
        <f t="shared" si="13"/>
        <v>2.9008620154011209E-2</v>
      </c>
      <c r="G34" s="49">
        <f t="shared" si="13"/>
        <v>6.8830463452513299E-2</v>
      </c>
      <c r="H34" s="50">
        <f t="shared" si="13"/>
        <v>8.9166031432629786E-2</v>
      </c>
      <c r="I34" s="49">
        <f t="shared" si="13"/>
        <v>2.2960266519172143E-2</v>
      </c>
      <c r="J34" s="50">
        <f t="shared" si="13"/>
        <v>0.14974424504084896</v>
      </c>
      <c r="K34" s="51">
        <f t="shared" si="13"/>
        <v>7.8863998041375935E-2</v>
      </c>
      <c r="L34" s="55"/>
      <c r="M34" s="54"/>
      <c r="N34" s="55"/>
      <c r="O34" s="20"/>
    </row>
    <row r="35" spans="1:15">
      <c r="B35" s="47" t="s">
        <v>21</v>
      </c>
      <c r="C35" s="48">
        <f t="shared" ref="C35:K35" si="14">C18/C5</f>
        <v>-4.3293419438288808E-2</v>
      </c>
      <c r="D35" s="48">
        <f t="shared" si="14"/>
        <v>-1.7493146178309025E-2</v>
      </c>
      <c r="E35" s="118">
        <f t="shared" si="14"/>
        <v>-0.19463981001858294</v>
      </c>
      <c r="F35" s="48">
        <f t="shared" si="14"/>
        <v>-3.1378023370931728E-2</v>
      </c>
      <c r="G35" s="49">
        <f t="shared" si="14"/>
        <v>7.7737136455831562E-3</v>
      </c>
      <c r="H35" s="50">
        <f t="shared" si="14"/>
        <v>2.8708412997929762E-2</v>
      </c>
      <c r="I35" s="49">
        <f t="shared" si="14"/>
        <v>-3.6706413010388933E-2</v>
      </c>
      <c r="J35" s="50">
        <f t="shared" si="14"/>
        <v>1.5364200354616633E-2</v>
      </c>
      <c r="K35" s="51">
        <f t="shared" si="14"/>
        <v>1.8097686375321338E-2</v>
      </c>
      <c r="L35" s="52"/>
      <c r="M35" s="51"/>
      <c r="N35" s="52"/>
      <c r="O35" s="20"/>
    </row>
    <row r="36" spans="1:15">
      <c r="B36" s="47" t="s">
        <v>42</v>
      </c>
      <c r="C36" s="56">
        <f t="shared" ref="C36:K36" si="15">C18/C39*1000</f>
        <v>-0.12982376631031201</v>
      </c>
      <c r="D36" s="56">
        <f t="shared" si="15"/>
        <v>-5.5870964522399848E-2</v>
      </c>
      <c r="E36" s="195">
        <f t="shared" si="15"/>
        <v>-0.53853557578762545</v>
      </c>
      <c r="F36" s="56">
        <f t="shared" si="15"/>
        <v>-8.5643939012059578E-2</v>
      </c>
      <c r="G36" s="57">
        <f t="shared" si="15"/>
        <v>2.0532719617218101E-2</v>
      </c>
      <c r="H36" s="58">
        <f t="shared" si="15"/>
        <v>7.7244270525036671E-2</v>
      </c>
      <c r="I36" s="57">
        <f t="shared" si="15"/>
        <v>-9.5950116071508829E-2</v>
      </c>
      <c r="J36" s="58">
        <f t="shared" si="15"/>
        <v>4.5548565788413951E-2</v>
      </c>
      <c r="K36" s="59">
        <f t="shared" si="15"/>
        <v>4.1424089358754426E-2</v>
      </c>
      <c r="L36" s="60"/>
      <c r="M36" s="61"/>
      <c r="N36" s="60"/>
      <c r="O36" s="20"/>
    </row>
    <row r="37" spans="1:15">
      <c r="B37" s="47" t="s">
        <v>43</v>
      </c>
      <c r="C37" s="219">
        <f t="shared" ref="C37:K37" si="16">C18/C40*1000</f>
        <v>-0.12982376631031201</v>
      </c>
      <c r="D37" s="56">
        <f t="shared" si="16"/>
        <v>-5.5870964522399848E-2</v>
      </c>
      <c r="E37" s="195">
        <f t="shared" si="16"/>
        <v>-0.53544937752831911</v>
      </c>
      <c r="F37" s="56">
        <f t="shared" si="16"/>
        <v>-8.5037433014327674E-2</v>
      </c>
      <c r="G37" s="57">
        <f t="shared" si="16"/>
        <v>2.0388568272222643E-2</v>
      </c>
      <c r="H37" s="58">
        <f t="shared" si="16"/>
        <v>7.6701971906200039E-2</v>
      </c>
      <c r="I37" s="57">
        <f t="shared" si="16"/>
        <v>-9.5276491800490193E-2</v>
      </c>
      <c r="J37" s="58">
        <f t="shared" si="16"/>
        <v>4.4520100847978195E-2</v>
      </c>
      <c r="K37" s="61">
        <f t="shared" si="16"/>
        <v>4.0481782721325854E-2</v>
      </c>
      <c r="L37" s="62"/>
      <c r="M37" s="63"/>
      <c r="N37" s="62"/>
      <c r="O37" s="25"/>
    </row>
    <row r="38" spans="1:15" ht="15.5">
      <c r="A38" s="19"/>
      <c r="B38" s="21"/>
      <c r="C38" s="22"/>
      <c r="D38" s="22"/>
      <c r="E38" s="22"/>
      <c r="F38" s="22"/>
      <c r="G38" s="22"/>
      <c r="H38" s="22"/>
      <c r="I38" s="22"/>
      <c r="J38" s="22"/>
      <c r="K38" s="22"/>
      <c r="L38" s="22"/>
      <c r="M38" s="22"/>
      <c r="N38" s="22"/>
      <c r="O38" s="20"/>
    </row>
    <row r="39" spans="1:15">
      <c r="B39" s="216" t="s">
        <v>47</v>
      </c>
      <c r="C39" s="37">
        <v>70125834.881720439</v>
      </c>
      <c r="D39" s="37">
        <v>71378757</v>
      </c>
      <c r="E39" s="196">
        <v>71378757</v>
      </c>
      <c r="F39" s="37">
        <v>88447589.956521735</v>
      </c>
      <c r="G39" s="38">
        <v>89223446</v>
      </c>
      <c r="H39" s="39">
        <v>89223446</v>
      </c>
      <c r="I39" s="38">
        <v>89223446</v>
      </c>
      <c r="J39" s="39">
        <v>89223446</v>
      </c>
      <c r="K39" s="40">
        <v>89223446</v>
      </c>
      <c r="L39" s="41"/>
      <c r="M39" s="40"/>
      <c r="N39" s="41"/>
      <c r="O39" s="20"/>
    </row>
    <row r="40" spans="1:15">
      <c r="B40" s="53" t="s">
        <v>48</v>
      </c>
      <c r="C40" s="42">
        <v>70125834.881720439</v>
      </c>
      <c r="D40" s="42">
        <v>71378757</v>
      </c>
      <c r="E40" s="197">
        <v>71790166.565217391</v>
      </c>
      <c r="F40" s="42">
        <v>89078417.956521735</v>
      </c>
      <c r="G40" s="43">
        <v>89854274</v>
      </c>
      <c r="H40" s="44">
        <v>89854274</v>
      </c>
      <c r="I40" s="43">
        <v>89854274</v>
      </c>
      <c r="J40" s="44">
        <v>91284609.032608688</v>
      </c>
      <c r="K40" s="45">
        <v>91300327</v>
      </c>
      <c r="L40" s="46"/>
      <c r="M40" s="45"/>
      <c r="N40" s="46"/>
      <c r="O40" s="20"/>
    </row>
    <row r="41" spans="1:15" ht="15.5">
      <c r="B41" s="23"/>
      <c r="C41" s="15"/>
      <c r="D41" s="15"/>
      <c r="E41" s="198"/>
      <c r="F41" s="15"/>
      <c r="G41" s="3"/>
      <c r="H41" s="2"/>
      <c r="I41" s="3"/>
      <c r="J41" s="2"/>
      <c r="K41" s="6"/>
      <c r="L41" s="5"/>
      <c r="M41" s="6"/>
      <c r="N41" s="5"/>
      <c r="O41" s="20"/>
    </row>
    <row r="42" spans="1:15" ht="15.5">
      <c r="B42" s="64"/>
      <c r="C42" s="199"/>
      <c r="D42" s="199"/>
      <c r="E42" s="199"/>
      <c r="F42" s="199"/>
      <c r="G42" s="65"/>
      <c r="H42" s="17"/>
      <c r="I42" s="17"/>
      <c r="J42" s="17"/>
      <c r="K42" s="66"/>
      <c r="L42" s="67"/>
      <c r="M42" s="66"/>
      <c r="N42" s="68"/>
      <c r="O42" s="20"/>
    </row>
    <row r="43" spans="1:15" ht="111.75" customHeight="1">
      <c r="B43" s="230" t="s">
        <v>127</v>
      </c>
      <c r="C43" s="230"/>
      <c r="D43" s="230"/>
      <c r="E43" s="230"/>
      <c r="F43" s="230"/>
      <c r="G43" s="230"/>
      <c r="H43" s="230"/>
      <c r="I43" s="230"/>
      <c r="J43" s="230"/>
      <c r="K43" s="230"/>
      <c r="L43" s="230"/>
      <c r="M43" s="230"/>
      <c r="N43" s="230"/>
      <c r="O43" s="230"/>
    </row>
  </sheetData>
  <mergeCells count="4">
    <mergeCell ref="G3:J3"/>
    <mergeCell ref="K3:N3"/>
    <mergeCell ref="B43:O43"/>
    <mergeCell ref="C3:F3"/>
  </mergeCells>
  <pageMargins left="0.7" right="0.7" top="0.75" bottom="0.75" header="0.3" footer="0.3"/>
  <pageSetup paperSize="9" scale="55" orientation="landscape"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BreakPreview" zoomScale="80" zoomScaleNormal="100" zoomScaleSheetLayoutView="80" workbookViewId="0">
      <selection activeCell="J36" sqref="J36"/>
    </sheetView>
  </sheetViews>
  <sheetFormatPr defaultColWidth="9.1796875" defaultRowHeight="13"/>
  <cols>
    <col min="1" max="1" width="2.1796875" style="95" customWidth="1"/>
    <col min="2" max="2" width="43" style="95" customWidth="1"/>
    <col min="3" max="13" width="11.7265625" style="95" customWidth="1"/>
    <col min="14" max="14" width="10.7265625" style="95" customWidth="1"/>
    <col min="15" max="15" width="3" style="95" customWidth="1"/>
    <col min="16" max="16384" width="9.1796875" style="95"/>
  </cols>
  <sheetData>
    <row r="1" spans="2:15" ht="13.5" thickBot="1"/>
    <row r="2" spans="2:15" ht="16" thickBot="1">
      <c r="B2" s="1" t="s">
        <v>118</v>
      </c>
      <c r="C2" s="69"/>
      <c r="D2" s="69"/>
      <c r="E2" s="69"/>
      <c r="F2" s="69"/>
      <c r="G2" s="69"/>
      <c r="H2" s="69"/>
      <c r="I2" s="69"/>
      <c r="J2" s="69"/>
      <c r="K2" s="69"/>
      <c r="L2" s="69"/>
      <c r="M2" s="69"/>
      <c r="N2" s="69"/>
      <c r="O2" s="96"/>
    </row>
    <row r="3" spans="2:15" ht="13.5" thickBot="1">
      <c r="B3" s="70" t="s">
        <v>27</v>
      </c>
      <c r="C3" s="231">
        <v>2016</v>
      </c>
      <c r="D3" s="232"/>
      <c r="E3" s="232"/>
      <c r="F3" s="233"/>
      <c r="G3" s="224">
        <v>2017</v>
      </c>
      <c r="H3" s="225"/>
      <c r="I3" s="225"/>
      <c r="J3" s="226"/>
      <c r="K3" s="227">
        <v>2018</v>
      </c>
      <c r="L3" s="228"/>
      <c r="M3" s="228"/>
      <c r="N3" s="229"/>
      <c r="O3" s="97"/>
    </row>
    <row r="4" spans="2:15" ht="13.5" thickBot="1">
      <c r="B4" s="8" t="s">
        <v>1</v>
      </c>
      <c r="C4" s="189" t="s">
        <v>65</v>
      </c>
      <c r="D4" s="189" t="s">
        <v>66</v>
      </c>
      <c r="E4" s="189" t="s">
        <v>67</v>
      </c>
      <c r="F4" s="190" t="s">
        <v>68</v>
      </c>
      <c r="G4" s="71" t="s">
        <v>65</v>
      </c>
      <c r="H4" s="71" t="s">
        <v>66</v>
      </c>
      <c r="I4" s="71" t="s">
        <v>67</v>
      </c>
      <c r="J4" s="72" t="s">
        <v>68</v>
      </c>
      <c r="K4" s="73" t="s">
        <v>65</v>
      </c>
      <c r="L4" s="73" t="s">
        <v>3</v>
      </c>
      <c r="M4" s="73" t="s">
        <v>4</v>
      </c>
      <c r="N4" s="74" t="s">
        <v>5</v>
      </c>
      <c r="O4" s="97"/>
    </row>
    <row r="5" spans="2:15">
      <c r="B5" s="98"/>
      <c r="C5" s="200"/>
      <c r="D5" s="200"/>
      <c r="E5" s="200"/>
      <c r="F5" s="200"/>
      <c r="G5" s="99"/>
      <c r="H5" s="99"/>
      <c r="I5" s="99"/>
      <c r="J5" s="99"/>
      <c r="K5" s="100"/>
      <c r="L5" s="100"/>
      <c r="M5" s="100"/>
      <c r="N5" s="100"/>
      <c r="O5" s="97"/>
    </row>
    <row r="6" spans="2:15">
      <c r="B6" s="79" t="s">
        <v>49</v>
      </c>
      <c r="C6" s="80">
        <v>199400</v>
      </c>
      <c r="D6" s="80">
        <v>195839</v>
      </c>
      <c r="E6" s="80">
        <v>183548</v>
      </c>
      <c r="F6" s="80">
        <v>178746</v>
      </c>
      <c r="G6" s="81">
        <v>175943</v>
      </c>
      <c r="H6" s="81">
        <v>168852</v>
      </c>
      <c r="I6" s="81">
        <v>157496</v>
      </c>
      <c r="J6" s="81">
        <v>148632</v>
      </c>
      <c r="K6" s="82">
        <v>142635</v>
      </c>
      <c r="L6" s="82"/>
      <c r="M6" s="82"/>
      <c r="N6" s="82"/>
      <c r="O6" s="97"/>
    </row>
    <row r="7" spans="2:15">
      <c r="B7" s="79" t="s">
        <v>50</v>
      </c>
      <c r="C7" s="80">
        <v>344960</v>
      </c>
      <c r="D7" s="80">
        <v>343059</v>
      </c>
      <c r="E7" s="80">
        <v>327647</v>
      </c>
      <c r="F7" s="80">
        <v>316285</v>
      </c>
      <c r="G7" s="81">
        <v>316361</v>
      </c>
      <c r="H7" s="81">
        <v>315265</v>
      </c>
      <c r="I7" s="81">
        <v>303469</v>
      </c>
      <c r="J7" s="81">
        <v>305380</v>
      </c>
      <c r="K7" s="82">
        <v>294014</v>
      </c>
      <c r="L7" s="82"/>
      <c r="M7" s="82"/>
      <c r="N7" s="82"/>
      <c r="O7" s="97"/>
    </row>
    <row r="8" spans="2:15">
      <c r="B8" s="79" t="s">
        <v>51</v>
      </c>
      <c r="C8" s="80">
        <v>0</v>
      </c>
      <c r="D8" s="80">
        <v>0</v>
      </c>
      <c r="E8" s="80">
        <v>0</v>
      </c>
      <c r="F8" s="80">
        <v>17420</v>
      </c>
      <c r="G8" s="81">
        <v>13546</v>
      </c>
      <c r="H8" s="81">
        <v>13420</v>
      </c>
      <c r="I8" s="81">
        <v>12038</v>
      </c>
      <c r="J8" s="81">
        <v>16864</v>
      </c>
      <c r="K8" s="82">
        <v>13501</v>
      </c>
      <c r="L8" s="82"/>
      <c r="M8" s="82"/>
      <c r="N8" s="82"/>
      <c r="O8" s="97"/>
    </row>
    <row r="9" spans="2:15">
      <c r="B9" s="79" t="s">
        <v>52</v>
      </c>
      <c r="C9" s="80">
        <v>39699</v>
      </c>
      <c r="D9" s="80">
        <v>38052</v>
      </c>
      <c r="E9" s="80">
        <v>34809</v>
      </c>
      <c r="F9" s="80">
        <v>33661</v>
      </c>
      <c r="G9" s="81">
        <v>28349</v>
      </c>
      <c r="H9" s="81">
        <v>24567</v>
      </c>
      <c r="I9" s="81">
        <v>24481</v>
      </c>
      <c r="J9" s="81">
        <v>22367</v>
      </c>
      <c r="K9" s="82">
        <v>21738</v>
      </c>
      <c r="L9" s="82"/>
      <c r="M9" s="82"/>
      <c r="N9" s="82"/>
      <c r="O9" s="97"/>
    </row>
    <row r="10" spans="2:15">
      <c r="B10" s="79" t="s">
        <v>53</v>
      </c>
      <c r="C10" s="80">
        <v>674</v>
      </c>
      <c r="D10" s="80">
        <v>393</v>
      </c>
      <c r="E10" s="80">
        <v>395</v>
      </c>
      <c r="F10" s="80">
        <v>395</v>
      </c>
      <c r="G10" s="81">
        <v>395</v>
      </c>
      <c r="H10" s="81">
        <v>395</v>
      </c>
      <c r="I10" s="81">
        <v>387</v>
      </c>
      <c r="J10" s="81">
        <v>387</v>
      </c>
      <c r="K10" s="82">
        <v>387</v>
      </c>
      <c r="L10" s="82"/>
      <c r="M10" s="82"/>
      <c r="N10" s="82"/>
      <c r="O10" s="97"/>
    </row>
    <row r="11" spans="2:15">
      <c r="B11" s="79" t="s">
        <v>54</v>
      </c>
      <c r="C11" s="80">
        <v>0</v>
      </c>
      <c r="D11" s="80">
        <v>0</v>
      </c>
      <c r="E11" s="80">
        <v>0</v>
      </c>
      <c r="F11" s="80">
        <v>0</v>
      </c>
      <c r="G11" s="81">
        <v>0</v>
      </c>
      <c r="H11" s="81">
        <v>0</v>
      </c>
      <c r="I11" s="81">
        <v>0</v>
      </c>
      <c r="J11" s="81">
        <v>0</v>
      </c>
      <c r="K11" s="82">
        <v>0</v>
      </c>
      <c r="L11" s="82">
        <v>0</v>
      </c>
      <c r="M11" s="82"/>
      <c r="N11" s="82"/>
      <c r="O11" s="97"/>
    </row>
    <row r="12" spans="2:15">
      <c r="B12" s="79" t="s">
        <v>55</v>
      </c>
      <c r="C12" s="80">
        <v>1625</v>
      </c>
      <c r="D12" s="80">
        <v>2052</v>
      </c>
      <c r="E12" s="80">
        <v>2625</v>
      </c>
      <c r="F12" s="80">
        <v>1008</v>
      </c>
      <c r="G12" s="81">
        <v>1225</v>
      </c>
      <c r="H12" s="81">
        <v>1461</v>
      </c>
      <c r="I12" s="81">
        <v>1808</v>
      </c>
      <c r="J12" s="81">
        <v>2147</v>
      </c>
      <c r="K12" s="82">
        <v>2168</v>
      </c>
      <c r="L12" s="82"/>
      <c r="M12" s="82"/>
      <c r="N12" s="82"/>
      <c r="O12" s="97"/>
    </row>
    <row r="13" spans="2:15">
      <c r="B13" s="87" t="s">
        <v>56</v>
      </c>
      <c r="C13" s="88">
        <f t="shared" ref="C13:F13" si="0">SUM(C6:C12)</f>
        <v>586358</v>
      </c>
      <c r="D13" s="88">
        <f t="shared" si="0"/>
        <v>579395</v>
      </c>
      <c r="E13" s="88">
        <f t="shared" si="0"/>
        <v>549024</v>
      </c>
      <c r="F13" s="88">
        <f t="shared" si="0"/>
        <v>547515</v>
      </c>
      <c r="G13" s="89">
        <f t="shared" ref="G13:N13" si="1">SUM(G6:G12)</f>
        <v>535819</v>
      </c>
      <c r="H13" s="89">
        <f t="shared" si="1"/>
        <v>523960</v>
      </c>
      <c r="I13" s="89">
        <f t="shared" si="1"/>
        <v>499679</v>
      </c>
      <c r="J13" s="89">
        <f t="shared" si="1"/>
        <v>495777</v>
      </c>
      <c r="K13" s="90">
        <f t="shared" si="1"/>
        <v>474443</v>
      </c>
      <c r="L13" s="90">
        <f t="shared" si="1"/>
        <v>0</v>
      </c>
      <c r="M13" s="90">
        <f t="shared" si="1"/>
        <v>0</v>
      </c>
      <c r="N13" s="90">
        <f t="shared" si="1"/>
        <v>0</v>
      </c>
      <c r="O13" s="97"/>
    </row>
    <row r="14" spans="2:15">
      <c r="B14" s="79"/>
      <c r="C14" s="80"/>
      <c r="D14" s="80"/>
      <c r="E14" s="80"/>
      <c r="F14" s="80"/>
      <c r="G14" s="81"/>
      <c r="H14" s="81"/>
      <c r="I14" s="81"/>
      <c r="J14" s="81"/>
      <c r="K14" s="82"/>
      <c r="L14" s="82"/>
      <c r="M14" s="82"/>
      <c r="N14" s="82"/>
      <c r="O14" s="97"/>
    </row>
    <row r="15" spans="2:15">
      <c r="B15" s="79" t="s">
        <v>57</v>
      </c>
      <c r="C15" s="80">
        <v>96612</v>
      </c>
      <c r="D15" s="80">
        <v>79785</v>
      </c>
      <c r="E15" s="80">
        <v>68773</v>
      </c>
      <c r="F15" s="80">
        <v>66327</v>
      </c>
      <c r="G15" s="81">
        <v>69381</v>
      </c>
      <c r="H15" s="81">
        <v>68990</v>
      </c>
      <c r="I15" s="81">
        <v>62120</v>
      </c>
      <c r="J15" s="81">
        <v>65453</v>
      </c>
      <c r="K15" s="82">
        <v>62961</v>
      </c>
      <c r="L15" s="82"/>
      <c r="M15" s="82"/>
      <c r="N15" s="82"/>
      <c r="O15" s="97"/>
    </row>
    <row r="16" spans="2:15">
      <c r="B16" s="79" t="s">
        <v>58</v>
      </c>
      <c r="C16" s="80">
        <v>132016</v>
      </c>
      <c r="D16" s="80">
        <v>172898</v>
      </c>
      <c r="E16" s="80">
        <v>150797</v>
      </c>
      <c r="F16" s="80">
        <v>142425</v>
      </c>
      <c r="G16" s="81">
        <v>150698</v>
      </c>
      <c r="H16" s="81">
        <v>137943</v>
      </c>
      <c r="I16" s="81">
        <v>136155</v>
      </c>
      <c r="J16" s="81">
        <v>130487</v>
      </c>
      <c r="K16" s="82">
        <v>402315</v>
      </c>
      <c r="L16" s="82"/>
      <c r="M16" s="82"/>
      <c r="N16" s="82"/>
      <c r="O16" s="97"/>
    </row>
    <row r="17" spans="2:15">
      <c r="B17" s="79" t="s">
        <v>59</v>
      </c>
      <c r="C17" s="80">
        <v>69375</v>
      </c>
      <c r="D17" s="80">
        <v>75621</v>
      </c>
      <c r="E17" s="80">
        <v>83254</v>
      </c>
      <c r="F17" s="80">
        <v>75807</v>
      </c>
      <c r="G17" s="81">
        <v>131699</v>
      </c>
      <c r="H17" s="81">
        <v>146998</v>
      </c>
      <c r="I17" s="81">
        <v>169305</v>
      </c>
      <c r="J17" s="81">
        <v>227154</v>
      </c>
      <c r="K17" s="82">
        <v>47162</v>
      </c>
      <c r="L17" s="82"/>
      <c r="M17" s="82"/>
      <c r="N17" s="82"/>
      <c r="O17" s="97"/>
    </row>
    <row r="18" spans="2:15">
      <c r="B18" s="79" t="s">
        <v>60</v>
      </c>
      <c r="C18" s="80">
        <v>40012</v>
      </c>
      <c r="D18" s="80">
        <v>39013</v>
      </c>
      <c r="E18" s="80">
        <v>36578</v>
      </c>
      <c r="F18" s="80">
        <v>31646</v>
      </c>
      <c r="G18" s="81">
        <v>35296</v>
      </c>
      <c r="H18" s="81">
        <v>40360</v>
      </c>
      <c r="I18" s="81">
        <v>39642</v>
      </c>
      <c r="J18" s="81">
        <v>37868</v>
      </c>
      <c r="K18" s="82">
        <v>29806</v>
      </c>
      <c r="L18" s="78"/>
      <c r="M18" s="78"/>
      <c r="N18" s="78"/>
      <c r="O18" s="97"/>
    </row>
    <row r="19" spans="2:15">
      <c r="B19" s="79" t="s">
        <v>62</v>
      </c>
      <c r="C19" s="80">
        <v>0</v>
      </c>
      <c r="D19" s="80">
        <v>0</v>
      </c>
      <c r="E19" s="80">
        <v>0</v>
      </c>
      <c r="F19" s="80">
        <v>25225</v>
      </c>
      <c r="G19" s="81">
        <v>7524</v>
      </c>
      <c r="H19" s="81">
        <v>7524</v>
      </c>
      <c r="I19" s="81">
        <v>7524</v>
      </c>
      <c r="J19" s="81">
        <v>0</v>
      </c>
      <c r="K19" s="82">
        <v>0</v>
      </c>
      <c r="L19" s="78"/>
      <c r="M19" s="78"/>
      <c r="N19" s="78"/>
      <c r="O19" s="97"/>
    </row>
    <row r="20" spans="2:15">
      <c r="B20" s="79" t="s">
        <v>63</v>
      </c>
      <c r="C20" s="80">
        <v>52911</v>
      </c>
      <c r="D20" s="80">
        <v>17686</v>
      </c>
      <c r="E20" s="80">
        <v>19195</v>
      </c>
      <c r="F20" s="80">
        <v>101474</v>
      </c>
      <c r="G20" s="81">
        <v>74973</v>
      </c>
      <c r="H20" s="81">
        <v>103590</v>
      </c>
      <c r="I20" s="81">
        <v>129258</v>
      </c>
      <c r="J20" s="81">
        <v>113633</v>
      </c>
      <c r="K20" s="82">
        <v>94375</v>
      </c>
      <c r="L20" s="82"/>
      <c r="M20" s="82"/>
      <c r="N20" s="82"/>
      <c r="O20" s="97"/>
    </row>
    <row r="21" spans="2:15">
      <c r="B21" s="87" t="s">
        <v>61</v>
      </c>
      <c r="C21" s="88">
        <f t="shared" ref="C21:F21" si="2">SUM(C15:C20)</f>
        <v>390926</v>
      </c>
      <c r="D21" s="88">
        <f t="shared" si="2"/>
        <v>385003</v>
      </c>
      <c r="E21" s="88">
        <f t="shared" si="2"/>
        <v>358597</v>
      </c>
      <c r="F21" s="88">
        <f t="shared" si="2"/>
        <v>442904</v>
      </c>
      <c r="G21" s="89">
        <f t="shared" ref="G21:N21" si="3">SUM(G15:G20)</f>
        <v>469571</v>
      </c>
      <c r="H21" s="89">
        <f t="shared" si="3"/>
        <v>505405</v>
      </c>
      <c r="I21" s="89">
        <f t="shared" si="3"/>
        <v>544004</v>
      </c>
      <c r="J21" s="89">
        <f t="shared" si="3"/>
        <v>574595</v>
      </c>
      <c r="K21" s="90">
        <f t="shared" si="3"/>
        <v>636619</v>
      </c>
      <c r="L21" s="90">
        <f t="shared" si="3"/>
        <v>0</v>
      </c>
      <c r="M21" s="90">
        <f t="shared" si="3"/>
        <v>0</v>
      </c>
      <c r="N21" s="90">
        <f t="shared" si="3"/>
        <v>0</v>
      </c>
      <c r="O21" s="97"/>
    </row>
    <row r="22" spans="2:15">
      <c r="B22" s="79"/>
      <c r="C22" s="80"/>
      <c r="D22" s="80"/>
      <c r="E22" s="80"/>
      <c r="F22" s="80"/>
      <c r="G22" s="81"/>
      <c r="H22" s="81"/>
      <c r="I22" s="81"/>
      <c r="J22" s="81"/>
      <c r="K22" s="82"/>
      <c r="L22" s="82"/>
      <c r="M22" s="82"/>
      <c r="N22" s="82"/>
      <c r="O22" s="97"/>
    </row>
    <row r="23" spans="2:15" ht="13.5" thickBot="1">
      <c r="B23" s="122" t="s">
        <v>64</v>
      </c>
      <c r="C23" s="201">
        <f t="shared" ref="C23:F23" si="4">C13+C21</f>
        <v>977284</v>
      </c>
      <c r="D23" s="201">
        <f t="shared" si="4"/>
        <v>964398</v>
      </c>
      <c r="E23" s="201">
        <f t="shared" si="4"/>
        <v>907621</v>
      </c>
      <c r="F23" s="201">
        <f t="shared" si="4"/>
        <v>990419</v>
      </c>
      <c r="G23" s="123">
        <f t="shared" ref="G23:N23" si="5">G13+G21</f>
        <v>1005390</v>
      </c>
      <c r="H23" s="123">
        <f t="shared" si="5"/>
        <v>1029365</v>
      </c>
      <c r="I23" s="123">
        <f t="shared" si="5"/>
        <v>1043683</v>
      </c>
      <c r="J23" s="123">
        <f t="shared" si="5"/>
        <v>1070372</v>
      </c>
      <c r="K23" s="124">
        <f t="shared" si="5"/>
        <v>1111062</v>
      </c>
      <c r="L23" s="124">
        <f t="shared" si="5"/>
        <v>0</v>
      </c>
      <c r="M23" s="124">
        <f t="shared" si="5"/>
        <v>0</v>
      </c>
      <c r="N23" s="124">
        <f t="shared" si="5"/>
        <v>0</v>
      </c>
      <c r="O23" s="97"/>
    </row>
    <row r="24" spans="2:15" ht="13.5" thickTop="1">
      <c r="B24" s="79"/>
      <c r="C24" s="80"/>
      <c r="D24" s="80"/>
      <c r="E24" s="80"/>
      <c r="F24" s="80"/>
      <c r="G24" s="81"/>
      <c r="H24" s="81"/>
      <c r="I24" s="81"/>
      <c r="J24" s="81"/>
      <c r="K24" s="82"/>
      <c r="L24" s="82"/>
      <c r="M24" s="82"/>
      <c r="N24" s="82"/>
      <c r="O24" s="97"/>
    </row>
    <row r="25" spans="2:15">
      <c r="B25" s="75"/>
      <c r="C25" s="76"/>
      <c r="D25" s="76"/>
      <c r="E25" s="76"/>
      <c r="F25" s="76"/>
      <c r="G25" s="77"/>
      <c r="H25" s="77"/>
      <c r="I25" s="77"/>
      <c r="J25" s="77"/>
      <c r="K25" s="78"/>
      <c r="L25" s="78"/>
      <c r="M25" s="78"/>
      <c r="N25" s="78"/>
      <c r="O25" s="97"/>
    </row>
    <row r="26" spans="2:15">
      <c r="B26" s="79" t="s">
        <v>69</v>
      </c>
      <c r="C26" s="80">
        <v>27124</v>
      </c>
      <c r="D26" s="80">
        <v>27124</v>
      </c>
      <c r="E26" s="80">
        <v>27124</v>
      </c>
      <c r="F26" s="80">
        <v>33905</v>
      </c>
      <c r="G26" s="81">
        <v>33905</v>
      </c>
      <c r="H26" s="81">
        <v>33905</v>
      </c>
      <c r="I26" s="81">
        <v>33905</v>
      </c>
      <c r="J26" s="81">
        <v>33905</v>
      </c>
      <c r="K26" s="82">
        <v>33905</v>
      </c>
      <c r="L26" s="82"/>
      <c r="M26" s="82"/>
      <c r="N26" s="82"/>
      <c r="O26" s="97"/>
    </row>
    <row r="27" spans="2:15">
      <c r="B27" s="79" t="s">
        <v>70</v>
      </c>
      <c r="C27" s="80">
        <v>451252</v>
      </c>
      <c r="D27" s="80">
        <v>451252</v>
      </c>
      <c r="E27" s="80">
        <v>451252</v>
      </c>
      <c r="F27" s="80">
        <v>578307</v>
      </c>
      <c r="G27" s="81">
        <v>578307</v>
      </c>
      <c r="H27" s="81">
        <v>578307</v>
      </c>
      <c r="I27" s="81">
        <v>578307</v>
      </c>
      <c r="J27" s="81">
        <v>578307</v>
      </c>
      <c r="K27" s="82">
        <v>578307</v>
      </c>
      <c r="L27" s="82"/>
      <c r="M27" s="82"/>
      <c r="N27" s="82"/>
      <c r="O27" s="97"/>
    </row>
    <row r="28" spans="2:15">
      <c r="B28" s="79" t="s">
        <v>71</v>
      </c>
      <c r="C28" s="80">
        <v>20529</v>
      </c>
      <c r="D28" s="80">
        <v>20529</v>
      </c>
      <c r="E28" s="80">
        <v>20529</v>
      </c>
      <c r="F28" s="80">
        <v>20529</v>
      </c>
      <c r="G28" s="81">
        <v>20529</v>
      </c>
      <c r="H28" s="81">
        <v>20529</v>
      </c>
      <c r="I28" s="81">
        <v>20529</v>
      </c>
      <c r="J28" s="81">
        <v>20628</v>
      </c>
      <c r="K28" s="82">
        <v>20699</v>
      </c>
      <c r="L28" s="82"/>
      <c r="M28" s="82"/>
      <c r="N28" s="82"/>
      <c r="O28" s="97"/>
    </row>
    <row r="29" spans="2:15">
      <c r="B29" s="79" t="s">
        <v>72</v>
      </c>
      <c r="C29" s="80">
        <v>-92501</v>
      </c>
      <c r="D29" s="80">
        <v>-104141</v>
      </c>
      <c r="E29" s="80">
        <v>-168502</v>
      </c>
      <c r="F29" s="80">
        <v>-205841</v>
      </c>
      <c r="G29" s="81">
        <v>-201918</v>
      </c>
      <c r="H29" s="81">
        <v>-198739</v>
      </c>
      <c r="I29" s="81">
        <v>-224108</v>
      </c>
      <c r="J29" s="81">
        <v>-218609</v>
      </c>
      <c r="K29" s="82">
        <v>-233094</v>
      </c>
      <c r="L29" s="82"/>
      <c r="M29" s="82"/>
      <c r="N29" s="82"/>
      <c r="O29" s="97"/>
    </row>
    <row r="30" spans="2:15">
      <c r="B30" s="87" t="s">
        <v>73</v>
      </c>
      <c r="C30" s="88">
        <f t="shared" ref="C30" si="6">SUM(C26:C29)</f>
        <v>406404</v>
      </c>
      <c r="D30" s="88">
        <f t="shared" ref="D30" si="7">SUM(D26:D29)</f>
        <v>394764</v>
      </c>
      <c r="E30" s="88">
        <f t="shared" ref="E30" si="8">SUM(E26:E29)</f>
        <v>330403</v>
      </c>
      <c r="F30" s="88">
        <f t="shared" ref="F30" si="9">SUM(F26:F29)</f>
        <v>426900</v>
      </c>
      <c r="G30" s="89">
        <f t="shared" ref="G30:N30" si="10">SUM(G26:G29)</f>
        <v>430823</v>
      </c>
      <c r="H30" s="89">
        <f t="shared" si="10"/>
        <v>434002</v>
      </c>
      <c r="I30" s="89">
        <f t="shared" si="10"/>
        <v>408633</v>
      </c>
      <c r="J30" s="89">
        <f t="shared" si="10"/>
        <v>414231</v>
      </c>
      <c r="K30" s="90">
        <f t="shared" si="10"/>
        <v>399817</v>
      </c>
      <c r="L30" s="90">
        <f t="shared" si="10"/>
        <v>0</v>
      </c>
      <c r="M30" s="90">
        <f t="shared" si="10"/>
        <v>0</v>
      </c>
      <c r="N30" s="90">
        <f t="shared" si="10"/>
        <v>0</v>
      </c>
      <c r="O30" s="97"/>
    </row>
    <row r="31" spans="2:15">
      <c r="B31" s="79"/>
      <c r="C31" s="80"/>
      <c r="D31" s="80"/>
      <c r="E31" s="80"/>
      <c r="F31" s="80"/>
      <c r="G31" s="81"/>
      <c r="H31" s="81"/>
      <c r="I31" s="81"/>
      <c r="J31" s="81"/>
      <c r="K31" s="82"/>
      <c r="L31" s="82"/>
      <c r="M31" s="82"/>
      <c r="N31" s="82"/>
      <c r="O31" s="97"/>
    </row>
    <row r="32" spans="2:15">
      <c r="B32" s="79" t="s">
        <v>74</v>
      </c>
      <c r="C32" s="80">
        <v>18775</v>
      </c>
      <c r="D32" s="80">
        <v>18775</v>
      </c>
      <c r="E32" s="80">
        <v>18775</v>
      </c>
      <c r="F32" s="80">
        <v>0</v>
      </c>
      <c r="G32" s="81">
        <v>0</v>
      </c>
      <c r="H32" s="81">
        <v>0</v>
      </c>
      <c r="I32" s="81">
        <v>0</v>
      </c>
      <c r="J32" s="81">
        <v>0</v>
      </c>
      <c r="K32" s="82">
        <v>0</v>
      </c>
      <c r="L32" s="82"/>
      <c r="M32" s="82"/>
      <c r="N32" s="82"/>
      <c r="O32" s="97"/>
    </row>
    <row r="33" spans="1:15">
      <c r="B33" s="79" t="s">
        <v>75</v>
      </c>
      <c r="C33" s="80">
        <v>6582</v>
      </c>
      <c r="D33" s="80">
        <v>10608</v>
      </c>
      <c r="E33" s="80">
        <v>3453</v>
      </c>
      <c r="F33" s="80">
        <v>15003</v>
      </c>
      <c r="G33" s="81">
        <v>14658</v>
      </c>
      <c r="H33" s="81">
        <v>14490</v>
      </c>
      <c r="I33" s="81">
        <v>13551</v>
      </c>
      <c r="J33" s="81">
        <v>4956</v>
      </c>
      <c r="K33" s="82">
        <v>3433</v>
      </c>
      <c r="L33" s="82"/>
      <c r="M33" s="82"/>
      <c r="N33" s="82"/>
      <c r="O33" s="97"/>
    </row>
    <row r="34" spans="1:15">
      <c r="B34" s="79" t="s">
        <v>76</v>
      </c>
      <c r="C34" s="80">
        <v>0</v>
      </c>
      <c r="D34" s="80">
        <v>150000</v>
      </c>
      <c r="E34" s="80">
        <v>150000</v>
      </c>
      <c r="F34" s="80">
        <v>150000</v>
      </c>
      <c r="G34" s="81">
        <v>150000</v>
      </c>
      <c r="H34" s="81">
        <v>150000</v>
      </c>
      <c r="I34" s="81">
        <v>150000</v>
      </c>
      <c r="J34" s="81">
        <v>125000</v>
      </c>
      <c r="K34" s="82">
        <v>125000</v>
      </c>
      <c r="L34" s="82"/>
      <c r="M34" s="82"/>
      <c r="N34" s="82"/>
      <c r="O34" s="97"/>
    </row>
    <row r="35" spans="1:15">
      <c r="B35" s="79" t="s">
        <v>78</v>
      </c>
      <c r="C35" s="80">
        <v>128007</v>
      </c>
      <c r="D35" s="80">
        <v>99820</v>
      </c>
      <c r="E35" s="80">
        <v>95593</v>
      </c>
      <c r="F35" s="80">
        <v>116690</v>
      </c>
      <c r="G35" s="81">
        <v>115818</v>
      </c>
      <c r="H35" s="81">
        <v>113744</v>
      </c>
      <c r="I35" s="81">
        <v>109660</v>
      </c>
      <c r="J35" s="81">
        <v>85986</v>
      </c>
      <c r="K35" s="82">
        <v>82136</v>
      </c>
      <c r="L35" s="82"/>
      <c r="M35" s="82"/>
      <c r="N35" s="82"/>
      <c r="O35" s="97"/>
    </row>
    <row r="36" spans="1:15">
      <c r="B36" s="87" t="s">
        <v>79</v>
      </c>
      <c r="C36" s="88">
        <f t="shared" ref="C36" si="11">SUM(C32:C35)</f>
        <v>153364</v>
      </c>
      <c r="D36" s="88">
        <f t="shared" ref="D36" si="12">SUM(D32:D35)</f>
        <v>279203</v>
      </c>
      <c r="E36" s="88">
        <f t="shared" ref="E36" si="13">SUM(E32:E35)</f>
        <v>267821</v>
      </c>
      <c r="F36" s="88">
        <f t="shared" ref="F36" si="14">SUM(F32:F35)</f>
        <v>281693</v>
      </c>
      <c r="G36" s="89">
        <f t="shared" ref="G36" si="15">SUM(G32:G35)</f>
        <v>280476</v>
      </c>
      <c r="H36" s="89">
        <f t="shared" ref="H36" si="16">SUM(H32:H35)</f>
        <v>278234</v>
      </c>
      <c r="I36" s="89">
        <f t="shared" ref="I36" si="17">SUM(I32:I35)</f>
        <v>273211</v>
      </c>
      <c r="J36" s="89">
        <f t="shared" ref="J36" si="18">SUM(J32:J35)</f>
        <v>215942</v>
      </c>
      <c r="K36" s="90">
        <f t="shared" ref="K36" si="19">SUM(K32:K35)</f>
        <v>210569</v>
      </c>
      <c r="L36" s="90">
        <f t="shared" ref="L36" si="20">SUM(L32:L35)</f>
        <v>0</v>
      </c>
      <c r="M36" s="90">
        <f t="shared" ref="M36" si="21">SUM(M32:M35)</f>
        <v>0</v>
      </c>
      <c r="N36" s="90">
        <f t="shared" ref="N36" si="22">SUM(N32:N35)</f>
        <v>0</v>
      </c>
      <c r="O36" s="97"/>
    </row>
    <row r="37" spans="1:15">
      <c r="B37" s="217"/>
      <c r="C37" s="202"/>
      <c r="D37" s="76"/>
      <c r="E37" s="202"/>
      <c r="F37" s="76"/>
      <c r="G37" s="102"/>
      <c r="H37" s="77"/>
      <c r="I37" s="102"/>
      <c r="J37" s="77"/>
      <c r="K37" s="103"/>
      <c r="L37" s="78"/>
      <c r="M37" s="103"/>
      <c r="N37" s="78"/>
      <c r="O37" s="97"/>
    </row>
    <row r="38" spans="1:15">
      <c r="B38" s="184" t="s">
        <v>76</v>
      </c>
      <c r="C38" s="203">
        <v>182256</v>
      </c>
      <c r="D38" s="139">
        <v>66756</v>
      </c>
      <c r="E38" s="203">
        <v>123894</v>
      </c>
      <c r="F38" s="139">
        <v>79457</v>
      </c>
      <c r="G38" s="140">
        <v>127658</v>
      </c>
      <c r="H38" s="141">
        <v>165423</v>
      </c>
      <c r="I38" s="140">
        <v>188524</v>
      </c>
      <c r="J38" s="141">
        <v>203691</v>
      </c>
      <c r="K38" s="142">
        <v>230178</v>
      </c>
      <c r="L38" s="52"/>
      <c r="M38" s="51"/>
      <c r="N38" s="52"/>
      <c r="O38" s="96"/>
    </row>
    <row r="39" spans="1:15">
      <c r="B39" s="184" t="s">
        <v>80</v>
      </c>
      <c r="C39" s="203">
        <v>83352</v>
      </c>
      <c r="D39" s="139">
        <v>90239</v>
      </c>
      <c r="E39" s="203">
        <v>89627</v>
      </c>
      <c r="F39" s="139">
        <v>100209</v>
      </c>
      <c r="G39" s="140">
        <v>74668</v>
      </c>
      <c r="H39" s="141">
        <v>69039</v>
      </c>
      <c r="I39" s="140">
        <v>63943</v>
      </c>
      <c r="J39" s="141">
        <v>89272</v>
      </c>
      <c r="K39" s="142">
        <v>60989</v>
      </c>
      <c r="L39" s="55"/>
      <c r="M39" s="54"/>
      <c r="N39" s="55"/>
      <c r="O39" s="96"/>
    </row>
    <row r="40" spans="1:15">
      <c r="B40" s="184" t="s">
        <v>81</v>
      </c>
      <c r="C40" s="203">
        <v>2689</v>
      </c>
      <c r="D40" s="139">
        <v>2233</v>
      </c>
      <c r="E40" s="203">
        <v>1053</v>
      </c>
      <c r="F40" s="139">
        <v>702</v>
      </c>
      <c r="G40" s="140">
        <v>273</v>
      </c>
      <c r="H40" s="141">
        <v>511</v>
      </c>
      <c r="I40" s="140">
        <v>415</v>
      </c>
      <c r="J40" s="141">
        <v>3342</v>
      </c>
      <c r="K40" s="142">
        <v>2699</v>
      </c>
      <c r="L40" s="52"/>
      <c r="M40" s="51"/>
      <c r="N40" s="52"/>
      <c r="O40" s="96"/>
    </row>
    <row r="41" spans="1:15">
      <c r="B41" s="184" t="s">
        <v>82</v>
      </c>
      <c r="C41" s="204">
        <v>10109</v>
      </c>
      <c r="D41" s="80">
        <v>19783</v>
      </c>
      <c r="E41" s="204">
        <v>10492</v>
      </c>
      <c r="F41" s="80">
        <v>16647</v>
      </c>
      <c r="G41" s="144">
        <v>10679</v>
      </c>
      <c r="H41" s="81">
        <v>14285</v>
      </c>
      <c r="I41" s="144">
        <v>15043</v>
      </c>
      <c r="J41" s="81">
        <v>14541</v>
      </c>
      <c r="K41" s="145">
        <v>59987</v>
      </c>
      <c r="L41" s="60"/>
      <c r="M41" s="61"/>
      <c r="N41" s="60"/>
      <c r="O41" s="96"/>
    </row>
    <row r="42" spans="1:15">
      <c r="B42" s="184" t="s">
        <v>77</v>
      </c>
      <c r="C42" s="80">
        <v>18454</v>
      </c>
      <c r="D42" s="80">
        <v>19557</v>
      </c>
      <c r="E42" s="204">
        <v>17648</v>
      </c>
      <c r="F42" s="80">
        <v>11677</v>
      </c>
      <c r="G42" s="144">
        <v>20149</v>
      </c>
      <c r="H42" s="81">
        <v>11110</v>
      </c>
      <c r="I42" s="144">
        <v>11272</v>
      </c>
      <c r="J42" s="81">
        <v>11693</v>
      </c>
      <c r="K42" s="146">
        <v>27294</v>
      </c>
      <c r="L42" s="62"/>
      <c r="M42" s="63"/>
      <c r="N42" s="62"/>
      <c r="O42" s="104"/>
    </row>
    <row r="43" spans="1:15">
      <c r="B43" s="184" t="s">
        <v>83</v>
      </c>
      <c r="C43" s="147">
        <v>120656</v>
      </c>
      <c r="D43" s="147">
        <v>91863</v>
      </c>
      <c r="E43" s="205">
        <v>66683</v>
      </c>
      <c r="F43" s="147">
        <v>54696</v>
      </c>
      <c r="G43" s="148">
        <v>59927</v>
      </c>
      <c r="H43" s="149">
        <v>56024</v>
      </c>
      <c r="I43" s="148">
        <v>81905</v>
      </c>
      <c r="J43" s="149">
        <v>117660</v>
      </c>
      <c r="K43" s="145">
        <v>119529</v>
      </c>
      <c r="L43" s="106"/>
      <c r="M43" s="105"/>
      <c r="N43" s="106"/>
      <c r="O43" s="96"/>
    </row>
    <row r="44" spans="1:15">
      <c r="B44" s="218" t="s">
        <v>85</v>
      </c>
      <c r="C44" s="147">
        <v>0</v>
      </c>
      <c r="D44" s="147">
        <v>0</v>
      </c>
      <c r="E44" s="205">
        <v>0</v>
      </c>
      <c r="F44" s="147">
        <v>18438</v>
      </c>
      <c r="G44" s="148">
        <v>737</v>
      </c>
      <c r="H44" s="149">
        <v>737</v>
      </c>
      <c r="I44" s="148">
        <v>737</v>
      </c>
      <c r="J44" s="149">
        <v>0</v>
      </c>
      <c r="K44" s="145">
        <v>0</v>
      </c>
      <c r="L44" s="106"/>
      <c r="M44" s="105"/>
      <c r="N44" s="106"/>
      <c r="O44" s="96"/>
    </row>
    <row r="45" spans="1:15">
      <c r="B45" s="87" t="s">
        <v>84</v>
      </c>
      <c r="C45" s="88">
        <f t="shared" ref="C45" si="23">SUM(C38:C44)</f>
        <v>417516</v>
      </c>
      <c r="D45" s="88">
        <f t="shared" ref="D45" si="24">SUM(D38:D44)</f>
        <v>290431</v>
      </c>
      <c r="E45" s="88">
        <f t="shared" ref="E45" si="25">SUM(E38:E44)</f>
        <v>309397</v>
      </c>
      <c r="F45" s="88">
        <f t="shared" ref="F45" si="26">SUM(F38:F44)</f>
        <v>281826</v>
      </c>
      <c r="G45" s="89">
        <f t="shared" ref="G45:K45" si="27">SUM(G38:G44)</f>
        <v>294091</v>
      </c>
      <c r="H45" s="89">
        <f t="shared" si="27"/>
        <v>317129</v>
      </c>
      <c r="I45" s="89">
        <f t="shared" si="27"/>
        <v>361839</v>
      </c>
      <c r="J45" s="89">
        <f t="shared" si="27"/>
        <v>440199</v>
      </c>
      <c r="K45" s="90">
        <f t="shared" si="27"/>
        <v>500676</v>
      </c>
      <c r="L45" s="90">
        <f t="shared" ref="L45" si="28">SUM(L41:L44)</f>
        <v>0</v>
      </c>
      <c r="M45" s="90">
        <f t="shared" ref="M45" si="29">SUM(M41:M44)</f>
        <v>0</v>
      </c>
      <c r="N45" s="90">
        <f t="shared" ref="N45" si="30">SUM(N41:N44)</f>
        <v>0</v>
      </c>
      <c r="O45" s="96"/>
    </row>
    <row r="46" spans="1:15">
      <c r="B46" s="184"/>
      <c r="C46" s="192"/>
      <c r="D46" s="192"/>
      <c r="E46" s="191"/>
      <c r="F46" s="192"/>
      <c r="G46" s="107"/>
      <c r="H46" s="108"/>
      <c r="I46" s="107"/>
      <c r="J46" s="108"/>
      <c r="K46" s="109"/>
      <c r="L46" s="110"/>
      <c r="M46" s="109"/>
      <c r="N46" s="111"/>
      <c r="O46" s="96"/>
    </row>
    <row r="47" spans="1:15" ht="13.5" thickBot="1">
      <c r="B47" s="221" t="s">
        <v>86</v>
      </c>
      <c r="C47" s="206">
        <f t="shared" ref="C47:F47" si="31">C30+C36+C45</f>
        <v>977284</v>
      </c>
      <c r="D47" s="206">
        <f t="shared" si="31"/>
        <v>964398</v>
      </c>
      <c r="E47" s="206">
        <f t="shared" si="31"/>
        <v>907621</v>
      </c>
      <c r="F47" s="206">
        <f t="shared" si="31"/>
        <v>990419</v>
      </c>
      <c r="G47" s="126">
        <f t="shared" ref="G47:N47" si="32">G30+G36+G45</f>
        <v>1005390</v>
      </c>
      <c r="H47" s="127">
        <f t="shared" si="32"/>
        <v>1029365</v>
      </c>
      <c r="I47" s="127">
        <f t="shared" si="32"/>
        <v>1043683</v>
      </c>
      <c r="J47" s="127">
        <f t="shared" si="32"/>
        <v>1070372</v>
      </c>
      <c r="K47" s="128">
        <f t="shared" si="32"/>
        <v>1111062</v>
      </c>
      <c r="L47" s="129">
        <f t="shared" si="32"/>
        <v>0</v>
      </c>
      <c r="M47" s="128">
        <f t="shared" si="32"/>
        <v>0</v>
      </c>
      <c r="N47" s="130">
        <f t="shared" si="32"/>
        <v>0</v>
      </c>
      <c r="O47" s="96"/>
    </row>
    <row r="48" spans="1:15" ht="13.5" thickTop="1">
      <c r="A48" s="96"/>
      <c r="B48" s="96"/>
      <c r="C48" s="96"/>
      <c r="D48" s="96"/>
      <c r="E48" s="96"/>
      <c r="F48" s="96"/>
      <c r="G48" s="96"/>
      <c r="H48" s="96"/>
      <c r="I48" s="96"/>
      <c r="J48" s="96"/>
      <c r="K48" s="96"/>
      <c r="L48" s="96"/>
      <c r="M48" s="96"/>
      <c r="N48" s="96"/>
      <c r="O48" s="96"/>
    </row>
    <row r="49" spans="2:15">
      <c r="B49" s="222" t="s">
        <v>87</v>
      </c>
      <c r="C49" s="207">
        <f t="shared" ref="C49:F49" si="33">C30/C47</f>
        <v>0.41585045902726331</v>
      </c>
      <c r="D49" s="208">
        <f>D30/D47</f>
        <v>0.40933722384326804</v>
      </c>
      <c r="E49" s="207">
        <f t="shared" si="33"/>
        <v>0.36403190318425865</v>
      </c>
      <c r="F49" s="208">
        <f t="shared" si="33"/>
        <v>0.43102969551270726</v>
      </c>
      <c r="G49" s="150">
        <f t="shared" ref="G49:K49" si="34">G30/G47</f>
        <v>0.42851331324162761</v>
      </c>
      <c r="H49" s="151">
        <f t="shared" si="34"/>
        <v>0.42162109650124108</v>
      </c>
      <c r="I49" s="150">
        <f t="shared" si="34"/>
        <v>0.39152980358978734</v>
      </c>
      <c r="J49" s="151">
        <f t="shared" si="34"/>
        <v>0.38699723086926791</v>
      </c>
      <c r="K49" s="152">
        <f t="shared" si="34"/>
        <v>0.3598512054232797</v>
      </c>
      <c r="L49" s="132"/>
      <c r="M49" s="131"/>
      <c r="N49" s="133"/>
      <c r="O49" s="96"/>
    </row>
    <row r="50" spans="2:15">
      <c r="B50" s="223" t="s">
        <v>88</v>
      </c>
      <c r="C50" s="209">
        <f t="shared" ref="C50:F50" si="35">SUM(C21-C19-C20)-SUM(C45-C44-C38)</f>
        <v>102755</v>
      </c>
      <c r="D50" s="210">
        <f t="shared" si="35"/>
        <v>143642</v>
      </c>
      <c r="E50" s="209">
        <f>SUM(E21-E19-E20)-SUM(E45-E44-E38)</f>
        <v>153899</v>
      </c>
      <c r="F50" s="210">
        <f t="shared" si="35"/>
        <v>132274</v>
      </c>
      <c r="G50" s="153">
        <f t="shared" ref="G50:K50" si="36">SUM(G21-G19-G20)-SUM(G45-G44-G38)</f>
        <v>221378</v>
      </c>
      <c r="H50" s="154">
        <f t="shared" si="36"/>
        <v>243322</v>
      </c>
      <c r="I50" s="153">
        <f t="shared" si="36"/>
        <v>234644</v>
      </c>
      <c r="J50" s="154">
        <f t="shared" si="36"/>
        <v>224454</v>
      </c>
      <c r="K50" s="155">
        <f t="shared" si="36"/>
        <v>271746</v>
      </c>
      <c r="L50" s="117"/>
      <c r="M50" s="116"/>
      <c r="N50" s="117"/>
      <c r="O50" s="96"/>
    </row>
    <row r="51" spans="2:15">
      <c r="B51" s="223" t="s">
        <v>89</v>
      </c>
      <c r="C51" s="209">
        <f t="shared" ref="C51:F51" si="37">C38+C34-C20</f>
        <v>129345</v>
      </c>
      <c r="D51" s="210">
        <f t="shared" si="37"/>
        <v>199070</v>
      </c>
      <c r="E51" s="209">
        <f t="shared" si="37"/>
        <v>254699</v>
      </c>
      <c r="F51" s="210">
        <f t="shared" si="37"/>
        <v>127983</v>
      </c>
      <c r="G51" s="153">
        <f t="shared" ref="G51:K51" si="38">G38+G34-G20</f>
        <v>202685</v>
      </c>
      <c r="H51" s="154">
        <f t="shared" si="38"/>
        <v>211833</v>
      </c>
      <c r="I51" s="153">
        <f t="shared" si="38"/>
        <v>209266</v>
      </c>
      <c r="J51" s="154">
        <f t="shared" si="38"/>
        <v>215058</v>
      </c>
      <c r="K51" s="155">
        <f t="shared" si="38"/>
        <v>260803</v>
      </c>
      <c r="L51" s="117"/>
      <c r="M51" s="116"/>
      <c r="N51" s="117"/>
      <c r="O51" s="96"/>
    </row>
    <row r="52" spans="2:15">
      <c r="B52" s="218"/>
      <c r="C52" s="211"/>
      <c r="D52" s="134"/>
      <c r="E52" s="211"/>
      <c r="F52" s="134"/>
      <c r="G52" s="135"/>
      <c r="H52" s="136"/>
      <c r="I52" s="135"/>
      <c r="J52" s="136"/>
      <c r="K52" s="137"/>
      <c r="L52" s="138"/>
      <c r="M52" s="137"/>
      <c r="N52" s="138"/>
      <c r="O52" s="96"/>
    </row>
    <row r="53" spans="2:15" ht="33" customHeight="1">
      <c r="B53" s="234" t="s">
        <v>22</v>
      </c>
      <c r="C53" s="234"/>
      <c r="D53" s="234"/>
      <c r="E53" s="234"/>
      <c r="F53" s="234"/>
      <c r="G53" s="234"/>
      <c r="H53" s="234"/>
      <c r="I53" s="234"/>
      <c r="J53" s="234"/>
      <c r="K53" s="234"/>
      <c r="L53" s="234"/>
      <c r="M53" s="234"/>
      <c r="N53" s="234"/>
      <c r="O53" s="234"/>
    </row>
    <row r="55" spans="2:15">
      <c r="C55" s="214">
        <f t="shared" ref="C55:K55" si="39">C23-C47</f>
        <v>0</v>
      </c>
      <c r="D55" s="214">
        <f t="shared" si="39"/>
        <v>0</v>
      </c>
      <c r="E55" s="214">
        <f t="shared" si="39"/>
        <v>0</v>
      </c>
      <c r="F55" s="214">
        <f t="shared" si="39"/>
        <v>0</v>
      </c>
      <c r="G55" s="214">
        <f t="shared" si="39"/>
        <v>0</v>
      </c>
      <c r="H55" s="214">
        <f t="shared" si="39"/>
        <v>0</v>
      </c>
      <c r="I55" s="214">
        <f t="shared" si="39"/>
        <v>0</v>
      </c>
      <c r="J55" s="214">
        <f t="shared" si="39"/>
        <v>0</v>
      </c>
      <c r="K55" s="214">
        <f t="shared" si="39"/>
        <v>0</v>
      </c>
    </row>
  </sheetData>
  <mergeCells count="4">
    <mergeCell ref="G3:J3"/>
    <mergeCell ref="K3:N3"/>
    <mergeCell ref="B53:O53"/>
    <mergeCell ref="C3:F3"/>
  </mergeCells>
  <pageMargins left="0.7" right="0.7" top="0.75" bottom="0.75" header="0.3" footer="0.3"/>
  <pageSetup paperSize="9" scale="5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view="pageBreakPreview" zoomScale="80" zoomScaleNormal="100" zoomScaleSheetLayoutView="80" workbookViewId="0">
      <selection activeCell="G11" sqref="G11"/>
    </sheetView>
  </sheetViews>
  <sheetFormatPr defaultRowHeight="14.5"/>
  <cols>
    <col min="1" max="1" width="2.1796875" customWidth="1"/>
    <col min="2" max="2" width="45.26953125" customWidth="1"/>
    <col min="3" max="6" width="11.7265625" customWidth="1"/>
    <col min="7" max="14" width="10.7265625" customWidth="1"/>
    <col min="15" max="15" width="3" customWidth="1"/>
  </cols>
  <sheetData>
    <row r="1" spans="2:15" ht="15" thickBot="1"/>
    <row r="2" spans="2:15" ht="16" thickBot="1">
      <c r="B2" s="1" t="s">
        <v>90</v>
      </c>
      <c r="C2" s="26"/>
      <c r="D2" s="26"/>
      <c r="E2" s="26"/>
      <c r="F2" s="26"/>
      <c r="G2" s="26"/>
      <c r="H2" s="26"/>
      <c r="I2" s="26"/>
      <c r="J2" s="26"/>
      <c r="K2" s="26"/>
      <c r="L2" s="26"/>
      <c r="M2" s="26"/>
      <c r="N2" s="26"/>
      <c r="O2" s="20"/>
    </row>
    <row r="3" spans="2:15" ht="15" thickBot="1">
      <c r="B3" s="70" t="s">
        <v>27</v>
      </c>
      <c r="C3" s="231">
        <v>2016</v>
      </c>
      <c r="D3" s="232"/>
      <c r="E3" s="232"/>
      <c r="F3" s="233"/>
      <c r="G3" s="224">
        <v>2017</v>
      </c>
      <c r="H3" s="225"/>
      <c r="I3" s="225"/>
      <c r="J3" s="226"/>
      <c r="K3" s="227">
        <v>2018</v>
      </c>
      <c r="L3" s="228"/>
      <c r="M3" s="228"/>
      <c r="N3" s="229"/>
      <c r="O3" s="24"/>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24"/>
    </row>
    <row r="5" spans="2:15">
      <c r="B5" s="75" t="s">
        <v>37</v>
      </c>
      <c r="C5" s="76">
        <v>-11814</v>
      </c>
      <c r="D5" s="76">
        <v>3826</v>
      </c>
      <c r="E5" s="76">
        <v>-45483</v>
      </c>
      <c r="F5" s="76">
        <v>-2150</v>
      </c>
      <c r="G5" s="77">
        <v>2246</v>
      </c>
      <c r="H5" s="77">
        <v>698</v>
      </c>
      <c r="I5" s="77">
        <v>-20053</v>
      </c>
      <c r="J5" s="77">
        <v>7583</v>
      </c>
      <c r="K5" s="78">
        <v>-1487</v>
      </c>
      <c r="L5" s="78"/>
      <c r="M5" s="78"/>
      <c r="N5" s="78"/>
      <c r="O5" s="24"/>
    </row>
    <row r="6" spans="2:15">
      <c r="B6" s="79"/>
      <c r="C6" s="80"/>
      <c r="D6" s="80"/>
      <c r="E6" s="80"/>
      <c r="F6" s="80"/>
      <c r="G6" s="81"/>
      <c r="H6" s="81"/>
      <c r="I6" s="81"/>
      <c r="J6" s="81"/>
      <c r="K6" s="82"/>
      <c r="L6" s="82"/>
      <c r="M6" s="82"/>
      <c r="N6" s="82"/>
      <c r="O6" s="24"/>
    </row>
    <row r="7" spans="2:15">
      <c r="B7" s="79" t="s">
        <v>91</v>
      </c>
      <c r="C7" s="80">
        <v>-1212</v>
      </c>
      <c r="D7" s="80">
        <v>-1933</v>
      </c>
      <c r="E7" s="80">
        <v>-2328</v>
      </c>
      <c r="F7" s="80">
        <v>-1863</v>
      </c>
      <c r="G7" s="81">
        <v>-1563</v>
      </c>
      <c r="H7" s="81">
        <v>-2112</v>
      </c>
      <c r="I7" s="81">
        <v>-1510</v>
      </c>
      <c r="J7" s="81">
        <v>-2385</v>
      </c>
      <c r="K7" s="82">
        <v>-1960</v>
      </c>
      <c r="L7" s="82"/>
      <c r="M7" s="82"/>
      <c r="N7" s="82"/>
      <c r="O7" s="24"/>
    </row>
    <row r="8" spans="2:15">
      <c r="B8" s="79" t="s">
        <v>117</v>
      </c>
      <c r="C8" s="80">
        <v>3928</v>
      </c>
      <c r="D8" s="80">
        <v>3985</v>
      </c>
      <c r="E8" s="80">
        <v>3985</v>
      </c>
      <c r="F8" s="80">
        <v>3935</v>
      </c>
      <c r="G8" s="81">
        <v>3745</v>
      </c>
      <c r="H8" s="81">
        <v>3696</v>
      </c>
      <c r="I8" s="81">
        <v>4330</v>
      </c>
      <c r="J8" s="81">
        <v>5350</v>
      </c>
      <c r="K8" s="82">
        <v>2788</v>
      </c>
      <c r="L8" s="82"/>
      <c r="M8" s="82"/>
      <c r="N8" s="82"/>
      <c r="O8" s="24"/>
    </row>
    <row r="9" spans="2:15">
      <c r="B9" s="79" t="s">
        <v>116</v>
      </c>
      <c r="C9" s="80">
        <v>9744</v>
      </c>
      <c r="D9" s="80">
        <v>9284</v>
      </c>
      <c r="E9" s="80">
        <v>9257</v>
      </c>
      <c r="F9" s="80">
        <v>10643</v>
      </c>
      <c r="G9" s="81">
        <v>10644</v>
      </c>
      <c r="H9" s="81">
        <v>10818</v>
      </c>
      <c r="I9" s="81">
        <v>9586</v>
      </c>
      <c r="J9" s="81">
        <v>30195</v>
      </c>
      <c r="K9" s="82">
        <v>9622</v>
      </c>
      <c r="L9" s="82"/>
      <c r="M9" s="82"/>
      <c r="N9" s="82"/>
      <c r="O9" s="24"/>
    </row>
    <row r="10" spans="2:15">
      <c r="B10" s="79" t="s">
        <v>92</v>
      </c>
      <c r="C10" s="80">
        <v>0</v>
      </c>
      <c r="D10" s="80">
        <v>0</v>
      </c>
      <c r="E10" s="80">
        <v>0</v>
      </c>
      <c r="F10" s="80">
        <v>-18527</v>
      </c>
      <c r="G10" s="81">
        <v>0</v>
      </c>
      <c r="H10" s="81">
        <v>0</v>
      </c>
      <c r="I10" s="81">
        <v>0</v>
      </c>
      <c r="J10" s="81">
        <v>0</v>
      </c>
      <c r="K10" s="82">
        <v>0</v>
      </c>
      <c r="L10" s="82"/>
      <c r="M10" s="82"/>
      <c r="N10" s="82"/>
      <c r="O10" s="24"/>
    </row>
    <row r="11" spans="2:15">
      <c r="B11" s="79" t="s">
        <v>93</v>
      </c>
      <c r="C11" s="80">
        <v>0</v>
      </c>
      <c r="D11" s="80">
        <v>0</v>
      </c>
      <c r="E11" s="80">
        <v>0</v>
      </c>
      <c r="F11" s="80">
        <v>0</v>
      </c>
      <c r="G11" s="81">
        <v>0</v>
      </c>
      <c r="H11" s="81">
        <v>0</v>
      </c>
      <c r="I11" s="81">
        <v>-8</v>
      </c>
      <c r="J11" s="81">
        <v>0</v>
      </c>
      <c r="K11" s="82">
        <v>0</v>
      </c>
      <c r="L11" s="82"/>
      <c r="M11" s="82"/>
      <c r="N11" s="82"/>
      <c r="O11" s="24"/>
    </row>
    <row r="12" spans="2:15">
      <c r="B12" s="79" t="s">
        <v>94</v>
      </c>
      <c r="C12" s="80">
        <v>0</v>
      </c>
      <c r="D12" s="80">
        <v>0</v>
      </c>
      <c r="E12" s="80">
        <v>0</v>
      </c>
      <c r="F12" s="80">
        <v>0</v>
      </c>
      <c r="G12" s="81">
        <v>0</v>
      </c>
      <c r="H12" s="81">
        <v>0</v>
      </c>
      <c r="I12" s="81">
        <v>0</v>
      </c>
      <c r="J12" s="81">
        <v>99</v>
      </c>
      <c r="K12" s="82">
        <v>71</v>
      </c>
      <c r="L12" s="78"/>
      <c r="M12" s="78"/>
      <c r="N12" s="78"/>
      <c r="O12" s="24"/>
    </row>
    <row r="13" spans="2:15">
      <c r="B13" s="79"/>
      <c r="C13" s="80"/>
      <c r="D13" s="80"/>
      <c r="E13" s="80"/>
      <c r="F13" s="80"/>
      <c r="G13" s="81"/>
      <c r="H13" s="81"/>
      <c r="I13" s="81"/>
      <c r="J13" s="81"/>
      <c r="K13" s="82"/>
      <c r="L13" s="82"/>
      <c r="M13" s="82"/>
      <c r="N13" s="82"/>
      <c r="O13" s="24"/>
    </row>
    <row r="14" spans="2:15">
      <c r="B14" s="156" t="s">
        <v>95</v>
      </c>
      <c r="C14" s="80"/>
      <c r="D14" s="80"/>
      <c r="E14" s="80"/>
      <c r="F14" s="80"/>
      <c r="G14" s="81"/>
      <c r="H14" s="81"/>
      <c r="I14" s="81"/>
      <c r="J14" s="81"/>
      <c r="K14" s="82"/>
      <c r="L14" s="82"/>
      <c r="M14" s="82"/>
      <c r="N14" s="82"/>
      <c r="O14" s="24"/>
    </row>
    <row r="15" spans="2:15">
      <c r="B15" s="79" t="s">
        <v>115</v>
      </c>
      <c r="C15" s="80">
        <v>23468</v>
      </c>
      <c r="D15" s="80">
        <v>-39779</v>
      </c>
      <c r="E15" s="80">
        <v>20192</v>
      </c>
      <c r="F15" s="80">
        <v>2401</v>
      </c>
      <c r="G15" s="81">
        <v>199</v>
      </c>
      <c r="H15" s="81">
        <v>3716</v>
      </c>
      <c r="I15" s="81">
        <v>1950</v>
      </c>
      <c r="J15" s="81">
        <v>6089</v>
      </c>
      <c r="K15" s="82">
        <v>-256227</v>
      </c>
      <c r="L15" s="82"/>
      <c r="M15" s="82"/>
      <c r="N15" s="82"/>
      <c r="O15" s="24"/>
    </row>
    <row r="16" spans="2:15">
      <c r="B16" s="79" t="s">
        <v>96</v>
      </c>
      <c r="C16" s="80">
        <v>-15234</v>
      </c>
      <c r="D16" s="80">
        <v>16827</v>
      </c>
      <c r="E16" s="80">
        <v>11012</v>
      </c>
      <c r="F16" s="80">
        <v>2446</v>
      </c>
      <c r="G16" s="81">
        <v>-3054</v>
      </c>
      <c r="H16" s="81">
        <v>391</v>
      </c>
      <c r="I16" s="81">
        <v>6870</v>
      </c>
      <c r="J16" s="81">
        <v>-3333</v>
      </c>
      <c r="K16" s="82">
        <v>2492</v>
      </c>
      <c r="L16" s="82"/>
      <c r="M16" s="82"/>
      <c r="N16" s="82"/>
      <c r="O16" s="24"/>
    </row>
    <row r="17" spans="2:15">
      <c r="B17" s="79" t="s">
        <v>97</v>
      </c>
      <c r="C17" s="80">
        <v>5439</v>
      </c>
      <c r="D17" s="80">
        <v>6887</v>
      </c>
      <c r="E17" s="80">
        <v>-612</v>
      </c>
      <c r="F17" s="80">
        <v>10582</v>
      </c>
      <c r="G17" s="81">
        <v>-25541</v>
      </c>
      <c r="H17" s="81">
        <v>-5629</v>
      </c>
      <c r="I17" s="81">
        <v>-5096</v>
      </c>
      <c r="J17" s="81">
        <v>25329</v>
      </c>
      <c r="K17" s="82">
        <v>-28283</v>
      </c>
      <c r="L17" s="78"/>
      <c r="M17" s="78"/>
      <c r="N17" s="78"/>
      <c r="O17" s="24"/>
    </row>
    <row r="18" spans="2:15">
      <c r="B18" s="79" t="s">
        <v>98</v>
      </c>
      <c r="C18" s="80">
        <v>-25106</v>
      </c>
      <c r="D18" s="80">
        <v>-6246</v>
      </c>
      <c r="E18" s="80">
        <v>-7633</v>
      </c>
      <c r="F18" s="80">
        <v>7447</v>
      </c>
      <c r="G18" s="81">
        <v>-55892</v>
      </c>
      <c r="H18" s="81">
        <v>-15299</v>
      </c>
      <c r="I18" s="81">
        <v>-22307</v>
      </c>
      <c r="J18" s="81">
        <v>-57849</v>
      </c>
      <c r="K18" s="82">
        <v>179992</v>
      </c>
      <c r="L18" s="82"/>
      <c r="M18" s="82"/>
      <c r="N18" s="82"/>
      <c r="O18" s="24"/>
    </row>
    <row r="19" spans="2:15">
      <c r="B19" s="79" t="s">
        <v>99</v>
      </c>
      <c r="C19" s="80">
        <v>-17023</v>
      </c>
      <c r="D19" s="80">
        <v>-31137</v>
      </c>
      <c r="E19" s="80">
        <v>-16885</v>
      </c>
      <c r="F19" s="80">
        <v>6993</v>
      </c>
      <c r="G19" s="81">
        <v>965</v>
      </c>
      <c r="H19" s="81">
        <v>-1183</v>
      </c>
      <c r="I19" s="81">
        <v>39296</v>
      </c>
      <c r="J19" s="81">
        <v>-318</v>
      </c>
      <c r="K19" s="82">
        <v>50997</v>
      </c>
      <c r="L19" s="82"/>
      <c r="M19" s="82"/>
      <c r="N19" s="82"/>
      <c r="O19" s="24"/>
    </row>
    <row r="20" spans="2:15">
      <c r="B20" s="87" t="s">
        <v>100</v>
      </c>
      <c r="C20" s="88">
        <f t="shared" ref="C20:N20" si="0">SUM(C5:C19)</f>
        <v>-27810</v>
      </c>
      <c r="D20" s="88">
        <f t="shared" si="0"/>
        <v>-38286</v>
      </c>
      <c r="E20" s="88">
        <f t="shared" si="0"/>
        <v>-28495</v>
      </c>
      <c r="F20" s="88">
        <f t="shared" si="0"/>
        <v>21907</v>
      </c>
      <c r="G20" s="89">
        <f t="shared" si="0"/>
        <v>-68251</v>
      </c>
      <c r="H20" s="89">
        <f t="shared" si="0"/>
        <v>-4904</v>
      </c>
      <c r="I20" s="89">
        <f t="shared" si="0"/>
        <v>13058</v>
      </c>
      <c r="J20" s="89">
        <f t="shared" si="0"/>
        <v>10760</v>
      </c>
      <c r="K20" s="90">
        <f t="shared" si="0"/>
        <v>-41995</v>
      </c>
      <c r="L20" s="90">
        <f t="shared" si="0"/>
        <v>0</v>
      </c>
      <c r="M20" s="90">
        <f t="shared" si="0"/>
        <v>0</v>
      </c>
      <c r="N20" s="90">
        <f t="shared" si="0"/>
        <v>0</v>
      </c>
      <c r="O20" s="24"/>
    </row>
    <row r="21" spans="2:15">
      <c r="B21" s="79"/>
      <c r="C21" s="80"/>
      <c r="D21" s="80"/>
      <c r="E21" s="80"/>
      <c r="F21" s="80"/>
      <c r="G21" s="81"/>
      <c r="H21" s="81"/>
      <c r="I21" s="81"/>
      <c r="J21" s="81"/>
      <c r="K21" s="82"/>
      <c r="L21" s="82"/>
      <c r="M21" s="82"/>
      <c r="N21" s="82"/>
      <c r="O21" s="24"/>
    </row>
    <row r="22" spans="2:15">
      <c r="B22" s="79" t="s">
        <v>101</v>
      </c>
      <c r="C22" s="80">
        <v>-3184</v>
      </c>
      <c r="D22" s="80">
        <v>-4306</v>
      </c>
      <c r="E22" s="80">
        <v>-363</v>
      </c>
      <c r="F22" s="80">
        <v>-15740</v>
      </c>
      <c r="G22" s="81">
        <v>-5346</v>
      </c>
      <c r="H22" s="81">
        <v>-4211</v>
      </c>
      <c r="I22" s="81">
        <v>-3785</v>
      </c>
      <c r="J22" s="81">
        <v>-10943</v>
      </c>
      <c r="K22" s="82">
        <v>-5954</v>
      </c>
      <c r="L22" s="78"/>
      <c r="M22" s="78"/>
      <c r="N22" s="78"/>
      <c r="O22" s="24"/>
    </row>
    <row r="23" spans="2:15">
      <c r="B23" s="79" t="s">
        <v>102</v>
      </c>
      <c r="C23" s="80">
        <v>-700</v>
      </c>
      <c r="D23" s="80">
        <v>-3001</v>
      </c>
      <c r="E23" s="80">
        <v>-742</v>
      </c>
      <c r="F23" s="80">
        <v>-3905</v>
      </c>
      <c r="G23" s="81">
        <v>-1105</v>
      </c>
      <c r="H23" s="81">
        <v>0</v>
      </c>
      <c r="I23" s="81">
        <v>-1487</v>
      </c>
      <c r="J23" s="81">
        <v>-3236</v>
      </c>
      <c r="K23" s="82">
        <v>-2159</v>
      </c>
      <c r="L23" s="82"/>
      <c r="M23" s="82"/>
      <c r="N23" s="82"/>
      <c r="O23" s="24"/>
    </row>
    <row r="24" spans="2:15">
      <c r="B24" s="79" t="s">
        <v>103</v>
      </c>
      <c r="C24" s="80">
        <v>0</v>
      </c>
      <c r="D24" s="80">
        <v>-23845</v>
      </c>
      <c r="E24" s="80">
        <v>-26362</v>
      </c>
      <c r="F24" s="80">
        <v>-1942</v>
      </c>
      <c r="G24" s="81">
        <v>0</v>
      </c>
      <c r="H24" s="81">
        <v>-33</v>
      </c>
      <c r="I24" s="81">
        <v>0</v>
      </c>
      <c r="J24" s="81">
        <v>0</v>
      </c>
      <c r="K24" s="82">
        <v>0</v>
      </c>
      <c r="L24" s="82"/>
      <c r="M24" s="82"/>
      <c r="N24" s="82"/>
      <c r="O24" s="24"/>
    </row>
    <row r="25" spans="2:15">
      <c r="B25" s="79" t="s">
        <v>104</v>
      </c>
      <c r="C25" s="80">
        <v>746</v>
      </c>
      <c r="D25" s="80">
        <v>-287</v>
      </c>
      <c r="E25" s="80">
        <v>333</v>
      </c>
      <c r="F25" s="80">
        <v>43</v>
      </c>
      <c r="G25" s="81">
        <v>3617</v>
      </c>
      <c r="H25" s="81">
        <v>0</v>
      </c>
      <c r="I25" s="81">
        <v>0</v>
      </c>
      <c r="J25" s="81">
        <v>-4452</v>
      </c>
      <c r="K25" s="82">
        <v>0</v>
      </c>
      <c r="L25" s="82"/>
      <c r="M25" s="82"/>
      <c r="N25" s="82"/>
      <c r="O25" s="24"/>
    </row>
    <row r="26" spans="2:15">
      <c r="B26" s="87" t="s">
        <v>105</v>
      </c>
      <c r="C26" s="88">
        <f t="shared" ref="C26:N26" si="1">SUM(C22:C25)</f>
        <v>-3138</v>
      </c>
      <c r="D26" s="88">
        <f t="shared" si="1"/>
        <v>-31439</v>
      </c>
      <c r="E26" s="88">
        <f t="shared" si="1"/>
        <v>-27134</v>
      </c>
      <c r="F26" s="88">
        <f t="shared" si="1"/>
        <v>-21544</v>
      </c>
      <c r="G26" s="89">
        <f t="shared" si="1"/>
        <v>-2834</v>
      </c>
      <c r="H26" s="89">
        <f t="shared" si="1"/>
        <v>-4244</v>
      </c>
      <c r="I26" s="89">
        <f t="shared" si="1"/>
        <v>-5272</v>
      </c>
      <c r="J26" s="89">
        <f t="shared" si="1"/>
        <v>-18631</v>
      </c>
      <c r="K26" s="90">
        <f t="shared" si="1"/>
        <v>-8113</v>
      </c>
      <c r="L26" s="90">
        <f t="shared" si="1"/>
        <v>0</v>
      </c>
      <c r="M26" s="90">
        <f t="shared" si="1"/>
        <v>0</v>
      </c>
      <c r="N26" s="90">
        <f t="shared" si="1"/>
        <v>0</v>
      </c>
      <c r="O26" s="24"/>
    </row>
    <row r="27" spans="2:15">
      <c r="B27" s="79"/>
      <c r="C27" s="80"/>
      <c r="D27" s="80"/>
      <c r="E27" s="80"/>
      <c r="F27" s="80"/>
      <c r="G27" s="81"/>
      <c r="H27" s="81"/>
      <c r="I27" s="81"/>
      <c r="J27" s="81"/>
      <c r="K27" s="82"/>
      <c r="L27" s="82"/>
      <c r="M27" s="82"/>
      <c r="N27" s="82"/>
      <c r="O27" s="24"/>
    </row>
    <row r="28" spans="2:15">
      <c r="B28" s="79" t="s">
        <v>106</v>
      </c>
      <c r="C28" s="80">
        <v>18510</v>
      </c>
      <c r="D28" s="80">
        <v>34500</v>
      </c>
      <c r="E28" s="80">
        <v>57138</v>
      </c>
      <c r="F28" s="80">
        <v>13783</v>
      </c>
      <c r="G28" s="81">
        <v>48201</v>
      </c>
      <c r="H28" s="81">
        <v>37765</v>
      </c>
      <c r="I28" s="81">
        <v>34645</v>
      </c>
      <c r="J28" s="81">
        <v>16865</v>
      </c>
      <c r="K28" s="82">
        <v>30850</v>
      </c>
      <c r="L28" s="82"/>
      <c r="M28" s="82"/>
      <c r="N28" s="82"/>
      <c r="O28" s="24"/>
    </row>
    <row r="29" spans="2:15">
      <c r="B29" s="79" t="s">
        <v>107</v>
      </c>
      <c r="C29" s="80">
        <v>0</v>
      </c>
      <c r="D29" s="80">
        <v>0</v>
      </c>
      <c r="E29" s="80">
        <v>0</v>
      </c>
      <c r="F29" s="80">
        <v>-58220</v>
      </c>
      <c r="G29" s="81">
        <v>0</v>
      </c>
      <c r="H29" s="81">
        <v>0</v>
      </c>
      <c r="I29" s="81">
        <v>-11545</v>
      </c>
      <c r="J29" s="81">
        <v>-29069</v>
      </c>
      <c r="K29" s="82">
        <v>0</v>
      </c>
      <c r="L29" s="82"/>
      <c r="M29" s="82"/>
      <c r="N29" s="82"/>
      <c r="O29" s="24"/>
    </row>
    <row r="30" spans="2:15">
      <c r="B30" s="79" t="s">
        <v>108</v>
      </c>
      <c r="C30" s="80">
        <v>0</v>
      </c>
      <c r="D30" s="80">
        <v>0</v>
      </c>
      <c r="E30" s="80">
        <v>0</v>
      </c>
      <c r="F30" s="80">
        <v>127188</v>
      </c>
      <c r="G30" s="81">
        <v>0</v>
      </c>
      <c r="H30" s="81">
        <v>0</v>
      </c>
      <c r="I30" s="81">
        <v>0</v>
      </c>
      <c r="J30" s="81">
        <v>0</v>
      </c>
      <c r="K30" s="82">
        <v>0</v>
      </c>
      <c r="L30" s="82"/>
      <c r="M30" s="82"/>
      <c r="N30" s="82"/>
      <c r="O30" s="24"/>
    </row>
    <row r="31" spans="2:15">
      <c r="B31" s="79" t="s">
        <v>109</v>
      </c>
      <c r="C31" s="80">
        <v>0</v>
      </c>
      <c r="D31" s="80">
        <v>0</v>
      </c>
      <c r="E31" s="80">
        <v>0</v>
      </c>
      <c r="F31" s="80">
        <v>0</v>
      </c>
      <c r="G31" s="81">
        <v>0</v>
      </c>
      <c r="H31" s="81">
        <v>0</v>
      </c>
      <c r="I31" s="81">
        <v>-5220</v>
      </c>
      <c r="J31" s="81">
        <v>0</v>
      </c>
      <c r="K31" s="82">
        <v>0</v>
      </c>
      <c r="L31" s="82"/>
      <c r="M31" s="82"/>
      <c r="N31" s="82"/>
      <c r="O31" s="24"/>
    </row>
    <row r="32" spans="2:15">
      <c r="B32" s="87" t="s">
        <v>110</v>
      </c>
      <c r="C32" s="88">
        <f t="shared" ref="C32:N32" si="2">SUM(C28:C31)</f>
        <v>18510</v>
      </c>
      <c r="D32" s="88">
        <f t="shared" si="2"/>
        <v>34500</v>
      </c>
      <c r="E32" s="88">
        <f t="shared" si="2"/>
        <v>57138</v>
      </c>
      <c r="F32" s="88">
        <f t="shared" si="2"/>
        <v>82751</v>
      </c>
      <c r="G32" s="89">
        <f t="shared" si="2"/>
        <v>48201</v>
      </c>
      <c r="H32" s="89">
        <f t="shared" si="2"/>
        <v>37765</v>
      </c>
      <c r="I32" s="89">
        <f t="shared" si="2"/>
        <v>17880</v>
      </c>
      <c r="J32" s="89">
        <f t="shared" si="2"/>
        <v>-12204</v>
      </c>
      <c r="K32" s="90">
        <f t="shared" si="2"/>
        <v>30850</v>
      </c>
      <c r="L32" s="90">
        <f t="shared" si="2"/>
        <v>0</v>
      </c>
      <c r="M32" s="90">
        <f t="shared" si="2"/>
        <v>0</v>
      </c>
      <c r="N32" s="90">
        <f t="shared" si="2"/>
        <v>0</v>
      </c>
      <c r="O32" s="24"/>
    </row>
    <row r="33" spans="2:15">
      <c r="B33" s="75"/>
      <c r="C33" s="76"/>
      <c r="D33" s="76"/>
      <c r="E33" s="76"/>
      <c r="F33" s="76"/>
      <c r="G33" s="77"/>
      <c r="H33" s="77"/>
      <c r="I33" s="77"/>
      <c r="J33" s="77"/>
      <c r="K33" s="78"/>
      <c r="L33" s="78"/>
      <c r="M33" s="78"/>
      <c r="N33" s="78"/>
      <c r="O33" s="24"/>
    </row>
    <row r="34" spans="2:15">
      <c r="B34" s="112" t="s">
        <v>111</v>
      </c>
      <c r="C34" s="76">
        <f t="shared" ref="C34:N34" si="3">+C20+C26+C32</f>
        <v>-12438</v>
      </c>
      <c r="D34" s="76">
        <f t="shared" si="3"/>
        <v>-35225</v>
      </c>
      <c r="E34" s="76">
        <f t="shared" si="3"/>
        <v>1509</v>
      </c>
      <c r="F34" s="76">
        <f t="shared" si="3"/>
        <v>83114</v>
      </c>
      <c r="G34" s="77">
        <f t="shared" si="3"/>
        <v>-22884</v>
      </c>
      <c r="H34" s="77">
        <f t="shared" si="3"/>
        <v>28617</v>
      </c>
      <c r="I34" s="102">
        <f t="shared" si="3"/>
        <v>25666</v>
      </c>
      <c r="J34" s="77">
        <f t="shared" si="3"/>
        <v>-20075</v>
      </c>
      <c r="K34" s="103">
        <f t="shared" si="3"/>
        <v>-19258</v>
      </c>
      <c r="L34" s="78">
        <f t="shared" si="3"/>
        <v>0</v>
      </c>
      <c r="M34" s="103">
        <f t="shared" si="3"/>
        <v>0</v>
      </c>
      <c r="N34" s="78">
        <f t="shared" si="3"/>
        <v>0</v>
      </c>
      <c r="O34" s="24"/>
    </row>
    <row r="35" spans="2:15">
      <c r="B35" s="47" t="s">
        <v>112</v>
      </c>
      <c r="C35" s="147">
        <v>65349</v>
      </c>
      <c r="D35" s="147">
        <f>C37</f>
        <v>52911</v>
      </c>
      <c r="E35" s="147">
        <f>D37</f>
        <v>17686</v>
      </c>
      <c r="F35" s="147">
        <f>E37</f>
        <v>19195</v>
      </c>
      <c r="G35" s="141">
        <f>F37</f>
        <v>101474</v>
      </c>
      <c r="H35" s="141">
        <f t="shared" ref="H35:N35" si="4">G37</f>
        <v>74973</v>
      </c>
      <c r="I35" s="140">
        <f t="shared" si="4"/>
        <v>103590</v>
      </c>
      <c r="J35" s="141">
        <f t="shared" si="4"/>
        <v>129256</v>
      </c>
      <c r="K35" s="142">
        <f>J37</f>
        <v>113633</v>
      </c>
      <c r="L35" s="157">
        <f t="shared" si="4"/>
        <v>94375</v>
      </c>
      <c r="M35" s="142">
        <f t="shared" si="4"/>
        <v>94375</v>
      </c>
      <c r="N35" s="157">
        <f t="shared" si="4"/>
        <v>94375</v>
      </c>
      <c r="O35" s="20"/>
    </row>
    <row r="36" spans="2:15">
      <c r="B36" s="53" t="s">
        <v>113</v>
      </c>
      <c r="C36" s="139">
        <v>0</v>
      </c>
      <c r="D36" s="139">
        <v>0</v>
      </c>
      <c r="E36" s="139">
        <v>0</v>
      </c>
      <c r="F36" s="139">
        <v>-835</v>
      </c>
      <c r="G36" s="141">
        <v>-3617</v>
      </c>
      <c r="H36" s="141">
        <v>0</v>
      </c>
      <c r="I36" s="140">
        <v>0</v>
      </c>
      <c r="J36" s="141">
        <v>4452</v>
      </c>
      <c r="K36" s="142">
        <v>0</v>
      </c>
      <c r="L36" s="158"/>
      <c r="M36" s="143"/>
      <c r="N36" s="158"/>
      <c r="O36" s="20"/>
    </row>
    <row r="37" spans="2:15" ht="15" thickBot="1">
      <c r="B37" s="125" t="s">
        <v>114</v>
      </c>
      <c r="C37" s="159">
        <f t="shared" ref="C37:N37" si="5">SUM(C34:C36)</f>
        <v>52911</v>
      </c>
      <c r="D37" s="159">
        <f t="shared" si="5"/>
        <v>17686</v>
      </c>
      <c r="E37" s="159">
        <f t="shared" si="5"/>
        <v>19195</v>
      </c>
      <c r="F37" s="159">
        <f t="shared" si="5"/>
        <v>101474</v>
      </c>
      <c r="G37" s="161">
        <f t="shared" si="5"/>
        <v>74973</v>
      </c>
      <c r="H37" s="161">
        <f t="shared" si="5"/>
        <v>103590</v>
      </c>
      <c r="I37" s="160">
        <f t="shared" si="5"/>
        <v>129256</v>
      </c>
      <c r="J37" s="161">
        <f t="shared" si="5"/>
        <v>113633</v>
      </c>
      <c r="K37" s="162">
        <f t="shared" si="5"/>
        <v>94375</v>
      </c>
      <c r="L37" s="163">
        <f t="shared" si="5"/>
        <v>94375</v>
      </c>
      <c r="M37" s="162">
        <f t="shared" si="5"/>
        <v>94375</v>
      </c>
      <c r="N37" s="163">
        <f t="shared" si="5"/>
        <v>94375</v>
      </c>
      <c r="O37" s="20"/>
    </row>
    <row r="38" spans="2:15" ht="15" thickTop="1">
      <c r="B38" s="47"/>
      <c r="C38" s="80"/>
      <c r="D38" s="80"/>
      <c r="E38" s="80"/>
      <c r="F38" s="80"/>
      <c r="G38" s="81"/>
      <c r="H38" s="81"/>
      <c r="I38" s="144"/>
      <c r="J38" s="81"/>
      <c r="K38" s="145"/>
      <c r="L38" s="82"/>
      <c r="M38" s="146"/>
      <c r="N38" s="82"/>
      <c r="O38" s="20"/>
    </row>
    <row r="39" spans="2:15">
      <c r="B39" s="47"/>
      <c r="C39" s="76"/>
      <c r="D39" s="212"/>
      <c r="E39" s="212"/>
      <c r="F39" s="212"/>
      <c r="G39" s="213"/>
      <c r="H39" s="77"/>
      <c r="I39" s="102"/>
      <c r="J39" s="77"/>
      <c r="K39" s="146"/>
      <c r="L39" s="78"/>
      <c r="M39" s="103"/>
      <c r="N39" s="78"/>
      <c r="O39" s="25"/>
    </row>
    <row r="40" spans="2:15" ht="33" customHeight="1">
      <c r="B40" s="235" t="s">
        <v>126</v>
      </c>
      <c r="C40" s="235"/>
      <c r="D40" s="235"/>
      <c r="E40" s="235"/>
      <c r="F40" s="235"/>
      <c r="G40" s="235"/>
      <c r="H40" s="235"/>
      <c r="I40" s="235"/>
      <c r="J40" s="235"/>
      <c r="K40" s="235"/>
      <c r="L40" s="235"/>
      <c r="M40" s="235"/>
      <c r="N40" s="235"/>
      <c r="O40" s="25"/>
    </row>
  </sheetData>
  <mergeCells count="4">
    <mergeCell ref="G3:J3"/>
    <mergeCell ref="K3:N3"/>
    <mergeCell ref="B40:N40"/>
    <mergeCell ref="C3:F3"/>
  </mergeCells>
  <pageMargins left="0.7" right="0.7" top="0.75" bottom="0.75" header="0.3" footer="0.3"/>
  <pageSetup paperSize="9" scale="5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view="pageBreakPreview" zoomScale="80" zoomScaleNormal="100" zoomScaleSheetLayoutView="80" workbookViewId="0">
      <selection activeCell="J31" sqref="J31"/>
    </sheetView>
  </sheetViews>
  <sheetFormatPr defaultRowHeight="14.5"/>
  <cols>
    <col min="1" max="1" width="2.1796875" customWidth="1"/>
    <col min="2" max="2" width="46" customWidth="1"/>
    <col min="3" max="14" width="10.7265625" customWidth="1"/>
    <col min="15" max="15" width="3" customWidth="1"/>
  </cols>
  <sheetData>
    <row r="1" spans="2:15" ht="15" thickBot="1"/>
    <row r="2" spans="2:15" ht="16" thickBot="1">
      <c r="B2" s="236" t="s">
        <v>119</v>
      </c>
      <c r="C2" s="237"/>
      <c r="D2" s="237"/>
      <c r="E2" s="237"/>
      <c r="F2" s="26"/>
      <c r="G2" s="26"/>
      <c r="H2" s="26"/>
      <c r="I2" s="26"/>
      <c r="J2" s="26"/>
      <c r="K2" s="26"/>
      <c r="L2" s="26"/>
      <c r="M2" s="26"/>
      <c r="N2" s="26"/>
      <c r="O2" s="20"/>
    </row>
    <row r="3" spans="2:15" ht="15" thickBot="1">
      <c r="B3" s="70" t="s">
        <v>27</v>
      </c>
      <c r="C3" s="231">
        <v>2016</v>
      </c>
      <c r="D3" s="232"/>
      <c r="E3" s="232"/>
      <c r="F3" s="233"/>
      <c r="G3" s="224">
        <v>2017</v>
      </c>
      <c r="H3" s="225"/>
      <c r="I3" s="225"/>
      <c r="J3" s="226"/>
      <c r="K3" s="227">
        <v>2018</v>
      </c>
      <c r="L3" s="228"/>
      <c r="M3" s="228"/>
      <c r="N3" s="229"/>
      <c r="O3" s="97"/>
    </row>
    <row r="4" spans="2:15" ht="15" thickBot="1">
      <c r="B4" s="8" t="s">
        <v>1</v>
      </c>
      <c r="C4" s="189" t="s">
        <v>2</v>
      </c>
      <c r="D4" s="189" t="s">
        <v>3</v>
      </c>
      <c r="E4" s="189" t="s">
        <v>4</v>
      </c>
      <c r="F4" s="190" t="s">
        <v>5</v>
      </c>
      <c r="G4" s="71" t="s">
        <v>2</v>
      </c>
      <c r="H4" s="71" t="s">
        <v>3</v>
      </c>
      <c r="I4" s="71" t="s">
        <v>4</v>
      </c>
      <c r="J4" s="72" t="s">
        <v>5</v>
      </c>
      <c r="K4" s="73" t="s">
        <v>2</v>
      </c>
      <c r="L4" s="73" t="s">
        <v>3</v>
      </c>
      <c r="M4" s="73" t="s">
        <v>4</v>
      </c>
      <c r="N4" s="74" t="s">
        <v>5</v>
      </c>
      <c r="O4" s="97"/>
    </row>
    <row r="5" spans="2:15">
      <c r="B5" s="75"/>
      <c r="C5" s="76"/>
      <c r="D5" s="76"/>
      <c r="E5" s="76"/>
      <c r="F5" s="76"/>
      <c r="G5" s="77"/>
      <c r="H5" s="77"/>
      <c r="I5" s="77"/>
      <c r="J5" s="77"/>
      <c r="K5" s="78"/>
      <c r="L5" s="78"/>
      <c r="M5" s="78"/>
      <c r="N5" s="78"/>
      <c r="O5" s="97"/>
    </row>
    <row r="6" spans="2:15">
      <c r="B6" s="79" t="s">
        <v>121</v>
      </c>
      <c r="C6" s="80">
        <f>1123</f>
        <v>1123</v>
      </c>
      <c r="D6" s="80">
        <f>2895-1123</f>
        <v>1772</v>
      </c>
      <c r="E6" s="80">
        <f>4427-1123-1772</f>
        <v>1532</v>
      </c>
      <c r="F6" s="80">
        <f>6254-1123-1772-1532</f>
        <v>1827</v>
      </c>
      <c r="G6" s="81">
        <v>1472</v>
      </c>
      <c r="H6" s="81">
        <f>3930-1472</f>
        <v>2458</v>
      </c>
      <c r="I6" s="81">
        <f>5942-1472-2458</f>
        <v>2012</v>
      </c>
      <c r="J6" s="81">
        <f>7306-1472-2458-2012</f>
        <v>1364</v>
      </c>
      <c r="K6" s="82"/>
      <c r="L6" s="82"/>
      <c r="M6" s="82"/>
      <c r="N6" s="82"/>
      <c r="O6" s="97"/>
    </row>
    <row r="7" spans="2:15">
      <c r="B7" s="79" t="s">
        <v>122</v>
      </c>
      <c r="C7" s="80">
        <f>-5242</f>
        <v>-5242</v>
      </c>
      <c r="D7" s="80">
        <f>-4709+5242</f>
        <v>533</v>
      </c>
      <c r="E7" s="80">
        <f>-15849+5242-533</f>
        <v>-11140</v>
      </c>
      <c r="F7" s="80">
        <f>-21246+5242-533+11140</f>
        <v>-5397</v>
      </c>
      <c r="G7" s="81">
        <v>-4082</v>
      </c>
      <c r="H7" s="81">
        <f>-7671+4082</f>
        <v>-3589</v>
      </c>
      <c r="I7" s="81">
        <f>-11817+4082+3589</f>
        <v>-4146</v>
      </c>
      <c r="J7" s="81">
        <f>-16646+4082+3589+4146</f>
        <v>-4829</v>
      </c>
      <c r="K7" s="82"/>
      <c r="L7" s="82"/>
      <c r="M7" s="82"/>
      <c r="N7" s="82"/>
      <c r="O7" s="97"/>
    </row>
    <row r="8" spans="2:15">
      <c r="B8" s="79"/>
      <c r="C8" s="80"/>
      <c r="D8" s="80"/>
      <c r="E8" s="80"/>
      <c r="F8" s="80"/>
      <c r="G8" s="81"/>
      <c r="H8" s="81"/>
      <c r="I8" s="81"/>
      <c r="J8" s="81"/>
      <c r="K8" s="82"/>
      <c r="L8" s="82"/>
      <c r="M8" s="82"/>
      <c r="N8" s="82"/>
      <c r="O8" s="97"/>
    </row>
    <row r="9" spans="2:15">
      <c r="B9" s="79" t="s">
        <v>11</v>
      </c>
      <c r="C9" s="80">
        <f>-C7-C12</f>
        <v>29761</v>
      </c>
      <c r="D9" s="80">
        <f t="shared" ref="D9:F9" si="0">-D7-D12</f>
        <v>29910</v>
      </c>
      <c r="E9" s="80">
        <f t="shared" si="0"/>
        <v>35928</v>
      </c>
      <c r="F9" s="80">
        <f t="shared" si="0"/>
        <v>25167</v>
      </c>
      <c r="G9" s="81">
        <f>-G7-G12</f>
        <v>22299</v>
      </c>
      <c r="H9" s="81">
        <f t="shared" ref="H9:J9" si="1">-H7-H12</f>
        <v>24314</v>
      </c>
      <c r="I9" s="81">
        <f t="shared" si="1"/>
        <v>27544</v>
      </c>
      <c r="J9" s="81">
        <f t="shared" si="1"/>
        <v>29777</v>
      </c>
      <c r="K9" s="82"/>
      <c r="L9" s="82"/>
      <c r="M9" s="82"/>
      <c r="N9" s="82"/>
      <c r="O9" s="97"/>
    </row>
    <row r="10" spans="2:15">
      <c r="B10" s="79"/>
      <c r="C10" s="80"/>
      <c r="D10" s="80"/>
      <c r="E10" s="80"/>
      <c r="F10" s="80"/>
      <c r="G10" s="81"/>
      <c r="H10" s="81"/>
      <c r="I10" s="81"/>
      <c r="J10" s="81"/>
      <c r="K10" s="82"/>
      <c r="L10" s="82"/>
      <c r="M10" s="82"/>
      <c r="N10" s="82"/>
      <c r="O10" s="97"/>
    </row>
    <row r="11" spans="2:15">
      <c r="B11" s="79" t="s">
        <v>123</v>
      </c>
      <c r="C11" s="80">
        <f t="shared" ref="C11:F11" si="2">-C6</f>
        <v>-1123</v>
      </c>
      <c r="D11" s="80">
        <f t="shared" si="2"/>
        <v>-1772</v>
      </c>
      <c r="E11" s="80">
        <f t="shared" si="2"/>
        <v>-1532</v>
      </c>
      <c r="F11" s="80">
        <f t="shared" si="2"/>
        <v>-1827</v>
      </c>
      <c r="G11" s="81">
        <f>-G6</f>
        <v>-1472</v>
      </c>
      <c r="H11" s="81">
        <f>-H6</f>
        <v>-2458</v>
      </c>
      <c r="I11" s="81">
        <f t="shared" ref="I11:J11" si="3">-I6</f>
        <v>-2012</v>
      </c>
      <c r="J11" s="81">
        <f t="shared" si="3"/>
        <v>-1364</v>
      </c>
      <c r="K11" s="82"/>
      <c r="L11" s="82"/>
      <c r="M11" s="82"/>
      <c r="N11" s="82"/>
      <c r="O11" s="97"/>
    </row>
    <row r="12" spans="2:15">
      <c r="B12" s="79" t="s">
        <v>124</v>
      </c>
      <c r="C12" s="80">
        <v>-24519</v>
      </c>
      <c r="D12" s="80">
        <v>-30443</v>
      </c>
      <c r="E12" s="80">
        <v>-24788</v>
      </c>
      <c r="F12" s="80">
        <v>-19770</v>
      </c>
      <c r="G12" s="81">
        <v>-18217</v>
      </c>
      <c r="H12" s="81">
        <v>-20725</v>
      </c>
      <c r="I12" s="81">
        <v>-23398</v>
      </c>
      <c r="J12" s="81">
        <v>-24948</v>
      </c>
      <c r="K12" s="82"/>
      <c r="L12" s="82"/>
      <c r="M12" s="82"/>
      <c r="N12" s="82"/>
      <c r="O12" s="97"/>
    </row>
    <row r="13" spans="2:15">
      <c r="B13" s="87" t="s">
        <v>120</v>
      </c>
      <c r="C13" s="88">
        <f t="shared" ref="C13:F13" si="4">SUM(C6:C12)</f>
        <v>0</v>
      </c>
      <c r="D13" s="88">
        <f t="shared" si="4"/>
        <v>0</v>
      </c>
      <c r="E13" s="88">
        <f t="shared" si="4"/>
        <v>0</v>
      </c>
      <c r="F13" s="88">
        <f t="shared" si="4"/>
        <v>0</v>
      </c>
      <c r="G13" s="89">
        <f>SUM(G6:G12)</f>
        <v>0</v>
      </c>
      <c r="H13" s="89">
        <f t="shared" ref="H13:J13" si="5">SUM(H6:H12)</f>
        <v>0</v>
      </c>
      <c r="I13" s="89">
        <f t="shared" si="5"/>
        <v>0</v>
      </c>
      <c r="J13" s="89">
        <f t="shared" si="5"/>
        <v>0</v>
      </c>
      <c r="K13" s="90"/>
      <c r="L13" s="90"/>
      <c r="M13" s="90"/>
      <c r="N13" s="90"/>
      <c r="O13" s="97"/>
    </row>
    <row r="14" spans="2:15">
      <c r="B14" s="79"/>
      <c r="C14" s="80"/>
      <c r="D14" s="80"/>
      <c r="E14" s="80"/>
      <c r="F14" s="80"/>
      <c r="G14" s="81"/>
      <c r="H14" s="81"/>
      <c r="I14" s="81"/>
      <c r="J14" s="81"/>
      <c r="K14" s="82"/>
      <c r="L14" s="82"/>
      <c r="M14" s="82"/>
      <c r="N14" s="82"/>
      <c r="O14" s="97"/>
    </row>
    <row r="15" spans="2:15">
      <c r="B15" s="185"/>
      <c r="C15" s="134"/>
      <c r="D15" s="134"/>
      <c r="E15" s="134"/>
      <c r="F15" s="134"/>
      <c r="G15" s="136"/>
      <c r="H15" s="136"/>
      <c r="I15" s="136"/>
      <c r="J15" s="136"/>
      <c r="K15" s="138"/>
      <c r="L15" s="138"/>
      <c r="M15" s="138"/>
      <c r="N15" s="138"/>
      <c r="O15" s="96"/>
    </row>
    <row r="16" spans="2:15" ht="69.650000000000006" customHeight="1">
      <c r="B16" s="230" t="s">
        <v>125</v>
      </c>
      <c r="C16" s="230"/>
      <c r="D16" s="230"/>
      <c r="E16" s="230"/>
      <c r="F16" s="230"/>
      <c r="G16" s="230"/>
      <c r="H16" s="230"/>
      <c r="I16" s="230"/>
      <c r="J16" s="230"/>
      <c r="K16" s="230"/>
      <c r="L16" s="230"/>
      <c r="M16" s="230"/>
      <c r="N16" s="230"/>
      <c r="O16" s="230"/>
    </row>
  </sheetData>
  <mergeCells count="5">
    <mergeCell ref="B2:E2"/>
    <mergeCell ref="C3:F3"/>
    <mergeCell ref="G3:J3"/>
    <mergeCell ref="K3:N3"/>
    <mergeCell ref="B16:O16"/>
  </mergeCells>
  <pageMargins left="0.7" right="0.7" top="0.75" bottom="0.75" header="0.3" footer="0.3"/>
  <pageSetup paperSize="9"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Tolling</vt:lpstr>
      <vt:lpstr>Parking</vt:lpstr>
      <vt:lpstr>Infomobility</vt:lpstr>
      <vt:lpstr>Urban</vt:lpstr>
      <vt:lpstr>Inter-Urban</vt:lpstr>
      <vt:lpstr>P &amp; L</vt:lpstr>
      <vt:lpstr>Balance</vt:lpstr>
      <vt:lpstr>CashFlow</vt:lpstr>
      <vt:lpstr>Reclassification</vt:lpstr>
      <vt:lpstr>Balance!Print_Area</vt:lpstr>
      <vt:lpstr>CashFlow!Print_Area</vt:lpstr>
      <vt:lpstr>Infomobility!Print_Area</vt:lpstr>
      <vt:lpstr>'Inter-Urban'!Print_Area</vt:lpstr>
      <vt:lpstr>'P &amp; L'!Print_Area</vt:lpstr>
      <vt:lpstr>Parking!Print_Area</vt:lpstr>
      <vt:lpstr>Reclassification!Print_Area</vt:lpstr>
      <vt:lpstr>Tolling!Print_Area</vt:lpstr>
      <vt:lpstr>Urban!Print_Area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Kleven</dc:creator>
  <cp:lastModifiedBy>Tor Eirik Knutsen</cp:lastModifiedBy>
  <dcterms:created xsi:type="dcterms:W3CDTF">2018-04-24T12:10:08Z</dcterms:created>
  <dcterms:modified xsi:type="dcterms:W3CDTF">2018-04-27T05:52:15Z</dcterms:modified>
</cp:coreProperties>
</file>